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1"/>
  </bookViews>
  <sheets>
    <sheet name="Титульный лист" sheetId="1" r:id="rId1"/>
    <sheet name="май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'май'!$A:$A,'май'!$3:$5</definedName>
    <definedName name="_xlnm.Print_Area" localSheetId="1">'май'!$A$1:$AF$83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H87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не прав.планирование!!!</t>
        </r>
      </text>
    </comment>
    <comment ref="Q69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Писали сл. на передвижку. КФ считает, что из мест.бюджета не имеем право проводить конкурсы. Сделали запрос в ДЗН. ДЗН ответил, что конкурсы по ОТ можем проводить из ср-в субвенций. Руководство и отдел Рябининой и КФ будут принимать решение о внес.изм. в программу СЗН (передвижка бюджетов.).</t>
        </r>
      </text>
    </comment>
  </commentList>
</comments>
</file>

<file path=xl/sharedStrings.xml><?xml version="1.0" encoding="utf-8"?>
<sst xmlns="http://schemas.openxmlformats.org/spreadsheetml/2006/main" count="554" uniqueCount="196">
  <si>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</si>
  <si>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</si>
  <si>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</si>
  <si>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</si>
  <si>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</si>
  <si>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</si>
  <si>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</si>
  <si>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</si>
  <si>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</si>
  <si>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</si>
  <si>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</si>
  <si>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</si>
  <si>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</si>
  <si>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</si>
  <si>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</si>
  <si>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</si>
  <si>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</si>
  <si>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</si>
  <si>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</si>
  <si>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</si>
  <si>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</si>
  <si>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</si>
  <si>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</si>
  <si>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</si>
  <si>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</si>
  <si>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</si>
  <si>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</si>
  <si>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</si>
  <si>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</si>
  <si>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</si>
  <si>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</si>
  <si>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</si>
  <si>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</si>
  <si>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</si>
  <si>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</si>
  <si>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</si>
  <si>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</si>
  <si>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</si>
  <si>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</si>
  <si>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</si>
  <si>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</si>
  <si>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</si>
  <si>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</si>
  <si>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</si>
  <si>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</si>
  <si>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</si>
  <si>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</si>
  <si>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</si>
  <si>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</si>
  <si>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</si>
  <si>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</si>
  <si>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</si>
  <si>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</si>
  <si>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</si>
  <si>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</si>
  <si>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</si>
  <si>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</si>
  <si>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</si>
  <si>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</si>
  <si>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</si>
  <si>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</si>
  <si>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</si>
  <si>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</si>
  <si>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</si>
  <si>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</si>
  <si>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</si>
  <si>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</si>
  <si>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</si>
  <si>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</si>
  <si>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</si>
  <si>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</si>
  <si>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</si>
  <si>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</si>
  <si>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</si>
  <si>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</si>
  <si>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</si>
  <si>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</si>
  <si>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</si>
  <si>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</si>
  <si>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</si>
  <si>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</si>
  <si>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</si>
  <si>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</si>
  <si>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</si>
  <si>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</si>
  <si>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</si>
  <si>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</si>
  <si>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</si>
  <si>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</si>
  <si>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</si>
  <si>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</si>
  <si>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</si>
  <si>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</si>
  <si>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</si>
  <si>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</si>
  <si>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</si>
  <si>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</si>
  <si>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</si>
  <si>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</si>
  <si>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</si>
  <si>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</si>
  <si>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</si>
  <si>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</si>
  <si>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</si>
  <si>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</si>
  <si>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</si>
  <si>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</si>
  <si>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</si>
  <si>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</si>
  <si>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</si>
  <si>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</si>
  <si>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</si>
  <si>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</si>
  <si>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</si>
  <si>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</si>
  <si>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</si>
  <si>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</si>
  <si>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</si>
  <si>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</si>
  <si>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</si>
  <si>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</si>
  <si>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</si>
  <si>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</si>
  <si>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</si>
  <si>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</si>
  <si>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</si>
  <si>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</si>
  <si>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</si>
  <si>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</si>
  <si>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</si>
  <si>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</si>
  <si>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</si>
  <si>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</si>
  <si>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</si>
  <si>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</si>
  <si>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</si>
  <si>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</si>
  <si>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</si>
  <si>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</si>
  <si>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</si>
  <si>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</si>
  <si>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</si>
  <si>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</si>
  <si>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</si>
  <si>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</si>
  <si>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</si>
  <si>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</si>
  <si>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</si>
  <si>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</si>
  <si>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</si>
  <si>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 xml:space="preserve">федеральный бюджет </t>
  </si>
  <si>
    <t>ИТОГО (ФЕНИКС)</t>
  </si>
  <si>
    <t>за 2016 год</t>
  </si>
  <si>
    <t>"Содействие занятости населения города Когалыма"</t>
  </si>
  <si>
    <t>План на 2016 год</t>
  </si>
  <si>
    <t>1.1 "Содействие улучшению положения на рынке труда не занятых трудовой деятельностью и безработных граждан"  (1,2,3,4,5)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</si>
  <si>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</si>
  <si>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</si>
  <si>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>1.1.4.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</si>
  <si>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1.1.5. "Привлечение внештатных сотрудников"</t>
  </si>
  <si>
    <t>1.1.6. "Приобретение канцелярских товаров"</t>
  </si>
  <si>
    <t>1.1.7. "Оказание консультационных услуг по вопросам о занятости несовершеннолетних граждан"</t>
  </si>
  <si>
    <t>1.1.8. "Организация проведения оплачиваемых общественных работ для не занятых трудовой деятельностью и безработных граждан"</t>
  </si>
  <si>
    <t>1.1.10.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</si>
  <si>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2. "Улучшение условий и охраны труда в городе Когалыме" </t>
  </si>
  <si>
    <t>2.1 "Совершенствование нормативно-правовой базы в городе Когалыме в области охраны труда" (6)</t>
  </si>
  <si>
    <t>2.2 "Информационное обеспечение и пропаганда охраны труда" (7)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</si>
  <si>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</si>
  <si>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</si>
  <si>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</si>
  <si>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Основные мероприятия, подмероприятия муниципальной программы </t>
  </si>
  <si>
    <t>1.1.1. "Организация временного трудоустройства несовершеннолетних граждан в возрасте от 14 до 18 лет в свободное от учёбы время"</t>
  </si>
  <si>
    <r>
      <t xml:space="preserve">1.1.9.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</si>
  <si>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t>2.1.1. ""Исполнение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</si>
  <si>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2.2.1. ""Проведение семинаров по вопросам охраны труда""</t>
  </si>
  <si>
    <t>2.2.5. 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</si>
  <si>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Мероприятие проводится один раз в два года (конкурс проводился в 2015г.).</t>
  </si>
  <si>
    <t xml:space="preserve">Проведение мероприятия запланировано на октябрь 2016 года. </t>
  </si>
  <si>
    <t xml:space="preserve">Проводилились консультации, сбор и обработка отчетов по ОТ направляемых работодателями. Принято и обработано 128 отчетов по ОТ от работодателей г.Когалыма. </t>
  </si>
  <si>
    <t xml:space="preserve">по состоянию на 01.05.2016 </t>
  </si>
  <si>
    <t>Отчет о ходе реализации муниципальной программы "Содействие занятости населения города Когалыма"по состоянию на 01.06.2016 года</t>
  </si>
  <si>
    <t>Профинансировано на 01.06.2016</t>
  </si>
  <si>
    <t>Кассовый расход на  01.06.2016</t>
  </si>
  <si>
    <t>План на 01.06.2016</t>
  </si>
  <si>
    <t>Исп. Прытова Н.М. тел. 9-38-17</t>
  </si>
  <si>
    <t>Принято 583 заявления от несовершеннолетних граждан и их законных представителей для  формирования общей очереди для трудоустройства в летние трудовые бригады (подсобные рабочие). Освоение денежных средств (согласно сетевого графика) запланировано в июне м-це.</t>
  </si>
  <si>
    <t xml:space="preserve">В МБУ "МКЦ"Феникс"поступило 10 заявок от учреждений и организаций  города Когалыма о необходимом количестве работников для участия в данном мероприятии. Заключено 10 договоров о совместной деятельности. Заключено 40 срочных трудовых договоров с несовершеннолетними гражданами (операторы ЭВМ). Средства в размере 431,3 тыс.рублей выплачены на заработную плату несовершеннолетним гражданам. Не освоение средств сумме 4,07 тыс.руб. возникло по факту отработанного времени несовершеннолетними гражданами, средства будут освоены в сентябре месяце. </t>
  </si>
  <si>
    <t xml:space="preserve">В МБУ "МКЦ"Феникс" поступило 6 заявок от учреждений и организаций  города Когалыма о необходимом количестве работников для участия в данном мероприятии. Заключено 6 договоров о совместной деятельности. Заключено 6 договоров о совместной деятельности. Заключено 12 срочных трудовых договоров с несовершеннолетними безработными гражданами (операторы ЭВМ). Средства в размере 375,62 тыс.рублей выплачены на заработную плату несовершеннолетним безработным гражданам. Не освоение средств сумме 118,23 тыс.руб. возникло по факту отработанного времени несовершеннолетними гражданами, средства будут освоены в августе, сентябре месяце. </t>
  </si>
  <si>
    <t xml:space="preserve">Не освоение денежных средств в сумме 105,52 тыс. рублей  возникло по причинам: - 17,66 тыс.руб.  по итогам проведенного аукциона на приобретение  спец.одежды для несовершеннолетних граждан; - 87,86 тыс.руб. - по фактически предоставленными документам от несовершеннолетних граждан  за пройденный мед.осмотр, средства будут освоены в следующих  месяцах.  </t>
  </si>
  <si>
    <t>Принято 65 заявлений для трудоустройства внештатных сотрудников в летнее время.</t>
  </si>
  <si>
    <t>По факту обращения несовершеннолетних граждан в МБУ "МКЦ"Феникс"оказано 639 консультаций.</t>
  </si>
  <si>
    <t xml:space="preserve">По результатам проведенного конкурсного отбора МКУ "УЖКХ г.Когалыма"-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году. В январе 2016 года заключено 7 договоров "О совместной деятельности по организации временного трудоустройства граждан"с учреждениями (получателями субсидий) и КУ ХМАО-Югры "Когалымский центр занятости населения". С начала года в рамках мероприятий данной программы трудоустроено 119 человек (кухонный рабочий- 23 чел.; рабочий по благоустройству населенных пунктов - 57 чел.; машинистка - 22 чел.; социальный работник - 17 чел.) . Средства в размере 1948,01 тыс.рублей выплачены на заработную плату безработным гражданам. Не освоены денежные средства  в сумме 655,24 тыс.руб. в связи с карантином в школьных столовых и досрочным расторжением трудовых договоров по инициативе безработных грваждан . Освоение средств пройдет в июне 2016 года после подписания актов о целевом использовании средств между получателями субсидий и ЦЗН. </t>
  </si>
  <si>
    <t xml:space="preserve">На 01.06.2016 года не освоение денежных средств составляет 341,37 тыс.рублей в связи стем, что фактическая сумма выставленная поставщиками по услугам меньше планов (по услугам связи, расходов на содержание имущества). </t>
  </si>
  <si>
    <t>Заседание Межведомственной комиссии запланировано на август и декабрь 2016 года.</t>
  </si>
  <si>
    <t xml:space="preserve">По итогам проведенного электронного аукциона образовалась экономия в сумме  3,04 тыс.рублей в конце года средства будут возвращены в бюджет города.  </t>
  </si>
  <si>
    <t xml:space="preserve">С апреля по июнь 2016 года осуществлятся прием заявок от участников конкурса. Подведение итогов будет проходить заочно.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</si>
</sst>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  <numFmt numFmtId="196" formatCode="_(* #,##0.0000_);_(* \(#,##0.0000\);_(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7" tint="-0.4999699890613556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7" fillId="0" borderId="0" xfId="0" applyFont="1" applyFill="1" applyAlignment="1">
      <alignment vertical="center" wrapText="1"/>
    </xf>
    <xf numFmtId="0" fontId="78" fillId="0" borderId="0" xfId="0" applyFont="1" applyFill="1" applyAlignment="1">
      <alignment horizontal="center" vertical="center" wrapText="1"/>
    </xf>
    <xf numFmtId="174" fontId="77" fillId="0" borderId="0" xfId="0" applyNumberFormat="1" applyFont="1" applyFill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173" fontId="78" fillId="0" borderId="0" xfId="0" applyNumberFormat="1" applyFont="1" applyFill="1" applyBorder="1" applyAlignment="1">
      <alignment vertical="center" wrapText="1"/>
    </xf>
    <xf numFmtId="188" fontId="78" fillId="0" borderId="0" xfId="0" applyNumberFormat="1" applyFont="1" applyFill="1" applyBorder="1" applyAlignment="1">
      <alignment vertical="center" wrapText="1"/>
    </xf>
    <xf numFmtId="173" fontId="78" fillId="31" borderId="0" xfId="0" applyNumberFormat="1" applyFont="1" applyFill="1" applyBorder="1" applyAlignment="1">
      <alignment vertical="center" wrapText="1"/>
    </xf>
    <xf numFmtId="188" fontId="78" fillId="31" borderId="0" xfId="0" applyNumberFormat="1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8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81" fillId="0" borderId="0" xfId="0" applyFont="1" applyFill="1" applyAlignment="1">
      <alignment horizontal="center" vertical="center" wrapText="1"/>
    </xf>
    <xf numFmtId="174" fontId="80" fillId="0" borderId="0" xfId="0" applyNumberFormat="1" applyFont="1" applyFill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188" fontId="81" fillId="0" borderId="0" xfId="0" applyNumberFormat="1" applyFont="1" applyFill="1" applyBorder="1" applyAlignment="1">
      <alignment vertical="center" wrapText="1"/>
    </xf>
    <xf numFmtId="173" fontId="80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81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>
      <alignment vertical="center" wrapText="1"/>
    </xf>
    <xf numFmtId="0" fontId="81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wrapText="1"/>
    </xf>
    <xf numFmtId="0" fontId="20" fillId="35" borderId="10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left" wrapText="1"/>
    </xf>
    <xf numFmtId="172" fontId="5" fillId="36" borderId="10" xfId="6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left" vertical="top" wrapText="1"/>
    </xf>
    <xf numFmtId="172" fontId="5" fillId="4" borderId="10" xfId="60" applyFont="1" applyFill="1" applyBorder="1" applyAlignment="1" applyProtection="1">
      <alignment horizontal="right" vertical="center" wrapText="1"/>
      <protection/>
    </xf>
    <xf numFmtId="9" fontId="5" fillId="4" borderId="10" xfId="57" applyFont="1" applyFill="1" applyBorder="1" applyAlignment="1" applyProtection="1">
      <alignment horizontal="right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172" fontId="6" fillId="36" borderId="10" xfId="6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vertical="top" wrapText="1"/>
    </xf>
    <xf numFmtId="173" fontId="13" fillId="0" borderId="0" xfId="0" applyNumberFormat="1" applyFont="1" applyFill="1" applyBorder="1" applyAlignment="1">
      <alignment horizontal="justify" wrapText="1"/>
    </xf>
    <xf numFmtId="173" fontId="6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horizontal="left" vertical="top" wrapText="1"/>
      <protection/>
    </xf>
    <xf numFmtId="9" fontId="5" fillId="36" borderId="10" xfId="57" applyFont="1" applyFill="1" applyBorder="1" applyAlignment="1">
      <alignment horizontal="right" vertical="center" wrapText="1"/>
    </xf>
    <xf numFmtId="9" fontId="6" fillId="36" borderId="10" xfId="57" applyFont="1" applyFill="1" applyBorder="1" applyAlignment="1">
      <alignment horizontal="right" vertical="center" wrapText="1"/>
    </xf>
    <xf numFmtId="9" fontId="6" fillId="4" borderId="10" xfId="57" applyFont="1" applyFill="1" applyBorder="1" applyAlignment="1">
      <alignment horizontal="right" vertical="center" wrapText="1"/>
    </xf>
    <xf numFmtId="43" fontId="81" fillId="0" borderId="0" xfId="0" applyNumberFormat="1" applyFont="1" applyFill="1" applyAlignment="1">
      <alignment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9" fontId="6" fillId="35" borderId="10" xfId="57" applyFont="1" applyFill="1" applyBorder="1" applyAlignment="1" applyProtection="1">
      <alignment horizontal="right" vertical="center" wrapText="1"/>
      <protection/>
    </xf>
    <xf numFmtId="0" fontId="82" fillId="0" borderId="0" xfId="0" applyFont="1" applyFill="1" applyAlignment="1">
      <alignment vertical="center" wrapText="1"/>
    </xf>
    <xf numFmtId="173" fontId="83" fillId="0" borderId="0" xfId="0" applyNumberFormat="1" applyFont="1" applyFill="1" applyAlignment="1">
      <alignment vertical="center" wrapText="1"/>
    </xf>
    <xf numFmtId="171" fontId="3" fillId="0" borderId="11" xfId="0" applyNumberFormat="1" applyFont="1" applyFill="1" applyBorder="1" applyAlignment="1">
      <alignment vertical="center" wrapText="1"/>
    </xf>
    <xf numFmtId="0" fontId="82" fillId="0" borderId="11" xfId="0" applyFont="1" applyFill="1" applyBorder="1" applyAlignment="1">
      <alignment vertical="center" wrapText="1"/>
    </xf>
    <xf numFmtId="9" fontId="6" fillId="34" borderId="10" xfId="57" applyNumberFormat="1" applyFont="1" applyFill="1" applyBorder="1" applyAlignment="1" applyProtection="1">
      <alignment horizontal="right" vertical="center" wrapText="1"/>
      <protection/>
    </xf>
    <xf numFmtId="182" fontId="6" fillId="34" borderId="10" xfId="60" applyNumberFormat="1" applyFont="1" applyFill="1" applyBorder="1" applyAlignment="1" applyProtection="1">
      <alignment horizontal="right" vertical="center" wrapText="1"/>
      <protection/>
    </xf>
    <xf numFmtId="196" fontId="6" fillId="34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9">
      <selection activeCell="A1" sqref="A1:I47"/>
    </sheetView>
  </sheetViews>
  <sheetFormatPr defaultColWidth="9.140625" defaultRowHeight="12.75"/>
  <cols>
    <col min="1" max="16384" width="9.140625" style="25" customWidth="1"/>
  </cols>
  <sheetData>
    <row r="1" spans="1:2" ht="18.75">
      <c r="A1" s="187"/>
      <c r="B1" s="187"/>
    </row>
    <row r="10" spans="1:9" ht="23.25">
      <c r="A10" s="188" t="s">
        <v>34</v>
      </c>
      <c r="B10" s="188"/>
      <c r="C10" s="188"/>
      <c r="D10" s="188"/>
      <c r="E10" s="188"/>
      <c r="F10" s="188"/>
      <c r="G10" s="188"/>
      <c r="H10" s="188"/>
      <c r="I10" s="188"/>
    </row>
    <row r="11" spans="1:9" ht="23.25">
      <c r="A11" s="188" t="s">
        <v>28</v>
      </c>
      <c r="B11" s="188"/>
      <c r="C11" s="188"/>
      <c r="D11" s="188"/>
      <c r="E11" s="188"/>
      <c r="F11" s="188"/>
      <c r="G11" s="188"/>
      <c r="H11" s="188"/>
      <c r="I11" s="188"/>
    </row>
    <row r="13" spans="1:9" ht="27" customHeight="1">
      <c r="A13" s="189" t="s">
        <v>29</v>
      </c>
      <c r="B13" s="189"/>
      <c r="C13" s="189"/>
      <c r="D13" s="189"/>
      <c r="E13" s="189"/>
      <c r="F13" s="189"/>
      <c r="G13" s="189"/>
      <c r="H13" s="189"/>
      <c r="I13" s="189"/>
    </row>
    <row r="14" spans="1:9" ht="27" customHeight="1">
      <c r="A14" s="189" t="s">
        <v>30</v>
      </c>
      <c r="B14" s="189"/>
      <c r="C14" s="189"/>
      <c r="D14" s="189"/>
      <c r="E14" s="189"/>
      <c r="F14" s="189"/>
      <c r="G14" s="189"/>
      <c r="H14" s="189"/>
      <c r="I14" s="189"/>
    </row>
    <row r="15" spans="1:9" ht="51.75" customHeight="1">
      <c r="A15" s="190" t="s">
        <v>153</v>
      </c>
      <c r="B15" s="190"/>
      <c r="C15" s="190"/>
      <c r="D15" s="190"/>
      <c r="E15" s="190"/>
      <c r="F15" s="190"/>
      <c r="G15" s="190"/>
      <c r="H15" s="190"/>
      <c r="I15" s="190"/>
    </row>
    <row r="17" spans="1:9" ht="19.5">
      <c r="A17" s="189" t="s">
        <v>152</v>
      </c>
      <c r="B17" s="189"/>
      <c r="C17" s="189"/>
      <c r="D17" s="189"/>
      <c r="E17" s="189"/>
      <c r="F17" s="189"/>
      <c r="G17" s="189"/>
      <c r="H17" s="189"/>
      <c r="I17" s="189"/>
    </row>
    <row r="19" spans="1:9" ht="12.75">
      <c r="A19" s="185" t="s">
        <v>179</v>
      </c>
      <c r="B19" s="185"/>
      <c r="C19" s="185"/>
      <c r="D19" s="185"/>
      <c r="E19" s="185"/>
      <c r="F19" s="185"/>
      <c r="G19" s="185"/>
      <c r="H19" s="185"/>
      <c r="I19" s="185"/>
    </row>
    <row r="46" spans="1:9" ht="16.5">
      <c r="A46" s="186" t="s">
        <v>31</v>
      </c>
      <c r="B46" s="186"/>
      <c r="C46" s="186"/>
      <c r="D46" s="186"/>
      <c r="E46" s="186"/>
      <c r="F46" s="186"/>
      <c r="G46" s="186"/>
      <c r="H46" s="186"/>
      <c r="I46" s="186"/>
    </row>
    <row r="47" spans="1:9" ht="16.5">
      <c r="A47" s="186" t="s">
        <v>50</v>
      </c>
      <c r="B47" s="186"/>
      <c r="C47" s="186"/>
      <c r="D47" s="186"/>
      <c r="E47" s="186"/>
      <c r="F47" s="186"/>
      <c r="G47" s="186"/>
      <c r="H47" s="186"/>
      <c r="I47" s="186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0"/>
  <sheetViews>
    <sheetView showGridLines="0" tabSelected="1" view="pageBreakPreview" zoomScale="6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2" sqref="I82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4.5742187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64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0"/>
      <c r="H1" s="100"/>
      <c r="I1" s="24"/>
      <c r="J1" s="24"/>
      <c r="K1" s="24"/>
      <c r="O1" s="24"/>
      <c r="P1" s="24"/>
      <c r="Q1" s="24"/>
      <c r="R1" s="24"/>
      <c r="S1" s="24"/>
    </row>
    <row r="2" spans="1:32" ht="39.75" customHeight="1">
      <c r="A2" s="224" t="s">
        <v>180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</row>
    <row r="3" spans="1:34" s="11" customFormat="1" ht="18.75" customHeight="1">
      <c r="A3" s="197" t="s">
        <v>170</v>
      </c>
      <c r="B3" s="199" t="s">
        <v>154</v>
      </c>
      <c r="C3" s="199" t="s">
        <v>183</v>
      </c>
      <c r="D3" s="199" t="s">
        <v>181</v>
      </c>
      <c r="E3" s="199" t="s">
        <v>182</v>
      </c>
      <c r="F3" s="196" t="s">
        <v>15</v>
      </c>
      <c r="G3" s="196"/>
      <c r="H3" s="196" t="s">
        <v>0</v>
      </c>
      <c r="I3" s="196"/>
      <c r="J3" s="196" t="s">
        <v>1</v>
      </c>
      <c r="K3" s="196"/>
      <c r="L3" s="196" t="s">
        <v>2</v>
      </c>
      <c r="M3" s="196"/>
      <c r="N3" s="196" t="s">
        <v>3</v>
      </c>
      <c r="O3" s="196"/>
      <c r="P3" s="196" t="s">
        <v>4</v>
      </c>
      <c r="Q3" s="196"/>
      <c r="R3" s="196" t="s">
        <v>6</v>
      </c>
      <c r="S3" s="196"/>
      <c r="T3" s="103" t="s">
        <v>7</v>
      </c>
      <c r="U3" s="103" t="s">
        <v>7</v>
      </c>
      <c r="V3" s="196" t="s">
        <v>8</v>
      </c>
      <c r="W3" s="196"/>
      <c r="X3" s="196" t="s">
        <v>9</v>
      </c>
      <c r="Y3" s="196"/>
      <c r="Z3" s="196" t="s">
        <v>10</v>
      </c>
      <c r="AA3" s="196"/>
      <c r="AB3" s="196" t="s">
        <v>11</v>
      </c>
      <c r="AC3" s="196"/>
      <c r="AD3" s="196" t="s">
        <v>12</v>
      </c>
      <c r="AE3" s="196"/>
      <c r="AF3" s="197" t="s">
        <v>21</v>
      </c>
      <c r="AH3" s="95"/>
    </row>
    <row r="4" spans="1:34" s="13" customFormat="1" ht="72.75" customHeight="1">
      <c r="A4" s="197"/>
      <c r="B4" s="200"/>
      <c r="C4" s="200"/>
      <c r="D4" s="201"/>
      <c r="E4" s="200"/>
      <c r="F4" s="10" t="s">
        <v>17</v>
      </c>
      <c r="G4" s="10" t="s">
        <v>16</v>
      </c>
      <c r="H4" s="12" t="s">
        <v>13</v>
      </c>
      <c r="I4" s="12" t="s">
        <v>18</v>
      </c>
      <c r="J4" s="12" t="s">
        <v>13</v>
      </c>
      <c r="K4" s="12" t="s">
        <v>18</v>
      </c>
      <c r="L4" s="12" t="s">
        <v>13</v>
      </c>
      <c r="M4" s="12" t="s">
        <v>18</v>
      </c>
      <c r="N4" s="12" t="s">
        <v>13</v>
      </c>
      <c r="O4" s="12" t="s">
        <v>18</v>
      </c>
      <c r="P4" s="12" t="s">
        <v>13</v>
      </c>
      <c r="Q4" s="12" t="s">
        <v>18</v>
      </c>
      <c r="R4" s="12" t="s">
        <v>13</v>
      </c>
      <c r="S4" s="12" t="s">
        <v>18</v>
      </c>
      <c r="T4" s="12" t="s">
        <v>13</v>
      </c>
      <c r="U4" s="12" t="s">
        <v>18</v>
      </c>
      <c r="V4" s="12" t="s">
        <v>13</v>
      </c>
      <c r="W4" s="12" t="s">
        <v>18</v>
      </c>
      <c r="X4" s="12" t="s">
        <v>13</v>
      </c>
      <c r="Y4" s="12" t="s">
        <v>18</v>
      </c>
      <c r="Z4" s="12" t="s">
        <v>13</v>
      </c>
      <c r="AA4" s="12" t="s">
        <v>18</v>
      </c>
      <c r="AB4" s="12" t="s">
        <v>13</v>
      </c>
      <c r="AC4" s="12" t="s">
        <v>18</v>
      </c>
      <c r="AD4" s="12" t="s">
        <v>13</v>
      </c>
      <c r="AE4" s="12" t="s">
        <v>18</v>
      </c>
      <c r="AF4" s="197"/>
      <c r="AH4" s="95"/>
    </row>
    <row r="5" spans="1:34" s="15" customFormat="1" ht="20.25" customHeight="1">
      <c r="A5" s="14">
        <v>1</v>
      </c>
      <c r="B5" s="14">
        <v>2</v>
      </c>
      <c r="C5" s="14">
        <v>3</v>
      </c>
      <c r="D5" s="14"/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  <c r="AH5" s="96"/>
    </row>
    <row r="6" spans="1:34" s="18" customFormat="1" ht="36.75" customHeight="1">
      <c r="A6" s="168" t="s">
        <v>115</v>
      </c>
      <c r="B6" s="161">
        <f>B7</f>
        <v>18743</v>
      </c>
      <c r="C6" s="161">
        <f>C7</f>
        <v>4166.5902</v>
      </c>
      <c r="D6" s="161">
        <f>D7</f>
        <v>10087.644</v>
      </c>
      <c r="E6" s="161">
        <f>E7</f>
        <v>3280.48861</v>
      </c>
      <c r="F6" s="175">
        <f>E6/B6</f>
        <v>0.17502473510110442</v>
      </c>
      <c r="G6" s="175">
        <f>E6/C6</f>
        <v>0.7873317155116432</v>
      </c>
      <c r="H6" s="161">
        <f aca="true" t="shared" si="0" ref="H6:AE6">H7</f>
        <v>0</v>
      </c>
      <c r="I6" s="161">
        <f t="shared" si="0"/>
        <v>0</v>
      </c>
      <c r="J6" s="161">
        <f t="shared" si="0"/>
        <v>527.2992</v>
      </c>
      <c r="K6" s="161">
        <f t="shared" si="0"/>
        <v>265.16861</v>
      </c>
      <c r="L6" s="161">
        <f t="shared" si="0"/>
        <v>1039.493</v>
      </c>
      <c r="M6" s="161">
        <f t="shared" si="0"/>
        <v>919.9599999999999</v>
      </c>
      <c r="N6" s="161">
        <f t="shared" si="0"/>
        <v>1310.0040000000001</v>
      </c>
      <c r="O6" s="161">
        <f t="shared" si="0"/>
        <v>1118.26</v>
      </c>
      <c r="P6" s="161">
        <f t="shared" si="0"/>
        <v>1289.794</v>
      </c>
      <c r="Q6" s="161">
        <f t="shared" si="0"/>
        <v>977.1</v>
      </c>
      <c r="R6" s="161">
        <f t="shared" si="0"/>
        <v>3717.6920299999997</v>
      </c>
      <c r="S6" s="161">
        <f t="shared" si="0"/>
        <v>0</v>
      </c>
      <c r="T6" s="161">
        <f t="shared" si="0"/>
        <v>3441.27</v>
      </c>
      <c r="U6" s="161">
        <f t="shared" si="0"/>
        <v>0</v>
      </c>
      <c r="V6" s="161">
        <f t="shared" si="0"/>
        <v>3481.66</v>
      </c>
      <c r="W6" s="161">
        <f t="shared" si="0"/>
        <v>0</v>
      </c>
      <c r="X6" s="161">
        <f t="shared" si="0"/>
        <v>951.892</v>
      </c>
      <c r="Y6" s="161">
        <f t="shared" si="0"/>
        <v>0</v>
      </c>
      <c r="Z6" s="161">
        <f t="shared" si="0"/>
        <v>1049.252</v>
      </c>
      <c r="AA6" s="161">
        <f t="shared" si="0"/>
        <v>0</v>
      </c>
      <c r="AB6" s="161">
        <f t="shared" si="0"/>
        <v>1113.58997</v>
      </c>
      <c r="AC6" s="161">
        <f t="shared" si="0"/>
        <v>0</v>
      </c>
      <c r="AD6" s="161">
        <f t="shared" si="0"/>
        <v>821.0538</v>
      </c>
      <c r="AE6" s="161">
        <f t="shared" si="0"/>
        <v>0</v>
      </c>
      <c r="AF6" s="169"/>
      <c r="AH6" s="97"/>
    </row>
    <row r="7" spans="1:34" s="151" customFormat="1" ht="77.25" customHeight="1">
      <c r="A7" s="162" t="s">
        <v>155</v>
      </c>
      <c r="B7" s="149">
        <f>B8</f>
        <v>18743</v>
      </c>
      <c r="C7" s="149">
        <f aca="true" t="shared" si="1" ref="C7:AE7">C8</f>
        <v>4166.5902</v>
      </c>
      <c r="D7" s="149">
        <f t="shared" si="1"/>
        <v>10087.644</v>
      </c>
      <c r="E7" s="149">
        <f t="shared" si="1"/>
        <v>3280.48861</v>
      </c>
      <c r="F7" s="176">
        <f>E7/B7</f>
        <v>0.17502473510110442</v>
      </c>
      <c r="G7" s="176">
        <f>E7/C7</f>
        <v>0.7873317155116432</v>
      </c>
      <c r="H7" s="149">
        <f t="shared" si="1"/>
        <v>0</v>
      </c>
      <c r="I7" s="149">
        <f t="shared" si="1"/>
        <v>0</v>
      </c>
      <c r="J7" s="149">
        <f t="shared" si="1"/>
        <v>527.2992</v>
      </c>
      <c r="K7" s="149">
        <f t="shared" si="1"/>
        <v>265.16861</v>
      </c>
      <c r="L7" s="149">
        <f t="shared" si="1"/>
        <v>1039.493</v>
      </c>
      <c r="M7" s="149">
        <f t="shared" si="1"/>
        <v>919.9599999999999</v>
      </c>
      <c r="N7" s="149">
        <f t="shared" si="1"/>
        <v>1310.0040000000001</v>
      </c>
      <c r="O7" s="149">
        <f t="shared" si="1"/>
        <v>1118.26</v>
      </c>
      <c r="P7" s="149">
        <f t="shared" si="1"/>
        <v>1289.794</v>
      </c>
      <c r="Q7" s="149">
        <f t="shared" si="1"/>
        <v>977.1</v>
      </c>
      <c r="R7" s="149">
        <f t="shared" si="1"/>
        <v>3717.6920299999997</v>
      </c>
      <c r="S7" s="149">
        <f t="shared" si="1"/>
        <v>0</v>
      </c>
      <c r="T7" s="149">
        <f t="shared" si="1"/>
        <v>3441.27</v>
      </c>
      <c r="U7" s="149">
        <f t="shared" si="1"/>
        <v>0</v>
      </c>
      <c r="V7" s="149">
        <f t="shared" si="1"/>
        <v>3481.66</v>
      </c>
      <c r="W7" s="149">
        <f t="shared" si="1"/>
        <v>0</v>
      </c>
      <c r="X7" s="149">
        <f t="shared" si="1"/>
        <v>951.892</v>
      </c>
      <c r="Y7" s="149">
        <f t="shared" si="1"/>
        <v>0</v>
      </c>
      <c r="Z7" s="149">
        <f t="shared" si="1"/>
        <v>1049.252</v>
      </c>
      <c r="AA7" s="149">
        <f t="shared" si="1"/>
        <v>0</v>
      </c>
      <c r="AB7" s="149">
        <f t="shared" si="1"/>
        <v>1113.58997</v>
      </c>
      <c r="AC7" s="149">
        <f t="shared" si="1"/>
        <v>0</v>
      </c>
      <c r="AD7" s="149">
        <f t="shared" si="1"/>
        <v>821.0538</v>
      </c>
      <c r="AE7" s="149">
        <f t="shared" si="1"/>
        <v>0</v>
      </c>
      <c r="AF7" s="154"/>
      <c r="AH7" s="152"/>
    </row>
    <row r="8" spans="1:34" s="18" customFormat="1" ht="24" customHeight="1">
      <c r="A8" s="153" t="s">
        <v>32</v>
      </c>
      <c r="B8" s="149">
        <f>B9+B10+B11</f>
        <v>18743</v>
      </c>
      <c r="C8" s="149">
        <f aca="true" t="shared" si="2" ref="C8:AE8">C9+C10+C11</f>
        <v>4166.5902</v>
      </c>
      <c r="D8" s="149">
        <f t="shared" si="2"/>
        <v>10087.644</v>
      </c>
      <c r="E8" s="149">
        <f t="shared" si="2"/>
        <v>3280.48861</v>
      </c>
      <c r="F8" s="176">
        <f>E8/B8</f>
        <v>0.17502473510110442</v>
      </c>
      <c r="G8" s="176">
        <f>E8/C8</f>
        <v>0.7873317155116432</v>
      </c>
      <c r="H8" s="149">
        <f t="shared" si="2"/>
        <v>0</v>
      </c>
      <c r="I8" s="149">
        <f t="shared" si="2"/>
        <v>0</v>
      </c>
      <c r="J8" s="149">
        <f t="shared" si="2"/>
        <v>527.2992</v>
      </c>
      <c r="K8" s="149">
        <f t="shared" si="2"/>
        <v>265.16861</v>
      </c>
      <c r="L8" s="149">
        <f t="shared" si="2"/>
        <v>1039.493</v>
      </c>
      <c r="M8" s="149">
        <f t="shared" si="2"/>
        <v>919.9599999999999</v>
      </c>
      <c r="N8" s="149">
        <f t="shared" si="2"/>
        <v>1310.0040000000001</v>
      </c>
      <c r="O8" s="149">
        <f t="shared" si="2"/>
        <v>1118.26</v>
      </c>
      <c r="P8" s="149">
        <f t="shared" si="2"/>
        <v>1289.794</v>
      </c>
      <c r="Q8" s="149">
        <f t="shared" si="2"/>
        <v>977.1</v>
      </c>
      <c r="R8" s="149">
        <f t="shared" si="2"/>
        <v>3717.6920299999997</v>
      </c>
      <c r="S8" s="149">
        <f t="shared" si="2"/>
        <v>0</v>
      </c>
      <c r="T8" s="149">
        <f t="shared" si="2"/>
        <v>3441.27</v>
      </c>
      <c r="U8" s="149">
        <f t="shared" si="2"/>
        <v>0</v>
      </c>
      <c r="V8" s="149">
        <f t="shared" si="2"/>
        <v>3481.66</v>
      </c>
      <c r="W8" s="149">
        <f t="shared" si="2"/>
        <v>0</v>
      </c>
      <c r="X8" s="149">
        <f t="shared" si="2"/>
        <v>951.892</v>
      </c>
      <c r="Y8" s="149">
        <f t="shared" si="2"/>
        <v>0</v>
      </c>
      <c r="Z8" s="149">
        <f t="shared" si="2"/>
        <v>1049.252</v>
      </c>
      <c r="AA8" s="149">
        <f t="shared" si="2"/>
        <v>0</v>
      </c>
      <c r="AB8" s="149">
        <f t="shared" si="2"/>
        <v>1113.58997</v>
      </c>
      <c r="AC8" s="149">
        <f t="shared" si="2"/>
        <v>0</v>
      </c>
      <c r="AD8" s="149">
        <f t="shared" si="2"/>
        <v>821.0538</v>
      </c>
      <c r="AE8" s="149">
        <f t="shared" si="2"/>
        <v>0</v>
      </c>
      <c r="AF8" s="154"/>
      <c r="AH8" s="97"/>
    </row>
    <row r="9" spans="1:34" s="18" customFormat="1" ht="24" customHeight="1">
      <c r="A9" s="153" t="s">
        <v>150</v>
      </c>
      <c r="B9" s="149">
        <f>B44</f>
        <v>0</v>
      </c>
      <c r="C9" s="149">
        <f aca="true" t="shared" si="3" ref="C9:AE9">C44</f>
        <v>0</v>
      </c>
      <c r="D9" s="149">
        <f t="shared" si="3"/>
        <v>0</v>
      </c>
      <c r="E9" s="149">
        <f t="shared" si="3"/>
        <v>0</v>
      </c>
      <c r="F9" s="176">
        <v>0</v>
      </c>
      <c r="G9" s="176">
        <v>0</v>
      </c>
      <c r="H9" s="149">
        <f t="shared" si="3"/>
        <v>0</v>
      </c>
      <c r="I9" s="149">
        <f t="shared" si="3"/>
        <v>0</v>
      </c>
      <c r="J9" s="149">
        <f t="shared" si="3"/>
        <v>0</v>
      </c>
      <c r="K9" s="149">
        <f t="shared" si="3"/>
        <v>0</v>
      </c>
      <c r="L9" s="149">
        <f t="shared" si="3"/>
        <v>0</v>
      </c>
      <c r="M9" s="149">
        <f t="shared" si="3"/>
        <v>0</v>
      </c>
      <c r="N9" s="149">
        <f t="shared" si="3"/>
        <v>0</v>
      </c>
      <c r="O9" s="149">
        <f t="shared" si="3"/>
        <v>0</v>
      </c>
      <c r="P9" s="149">
        <f t="shared" si="3"/>
        <v>0</v>
      </c>
      <c r="Q9" s="149">
        <f t="shared" si="3"/>
        <v>0</v>
      </c>
      <c r="R9" s="149">
        <f t="shared" si="3"/>
        <v>0</v>
      </c>
      <c r="S9" s="149">
        <f t="shared" si="3"/>
        <v>0</v>
      </c>
      <c r="T9" s="149">
        <f t="shared" si="3"/>
        <v>0</v>
      </c>
      <c r="U9" s="149">
        <f t="shared" si="3"/>
        <v>0</v>
      </c>
      <c r="V9" s="149">
        <f t="shared" si="3"/>
        <v>0</v>
      </c>
      <c r="W9" s="149">
        <f t="shared" si="3"/>
        <v>0</v>
      </c>
      <c r="X9" s="149">
        <f t="shared" si="3"/>
        <v>0</v>
      </c>
      <c r="Y9" s="149">
        <f t="shared" si="3"/>
        <v>0</v>
      </c>
      <c r="Z9" s="149">
        <f t="shared" si="3"/>
        <v>0</v>
      </c>
      <c r="AA9" s="149">
        <f t="shared" si="3"/>
        <v>0</v>
      </c>
      <c r="AB9" s="149">
        <f t="shared" si="3"/>
        <v>0</v>
      </c>
      <c r="AC9" s="149">
        <f t="shared" si="3"/>
        <v>0</v>
      </c>
      <c r="AD9" s="149">
        <f t="shared" si="3"/>
        <v>0</v>
      </c>
      <c r="AE9" s="149">
        <f t="shared" si="3"/>
        <v>0</v>
      </c>
      <c r="AF9" s="154"/>
      <c r="AH9" s="97"/>
    </row>
    <row r="10" spans="1:34" s="18" customFormat="1" ht="24" customHeight="1">
      <c r="A10" s="153" t="s">
        <v>24</v>
      </c>
      <c r="B10" s="149">
        <f>B14+B18+B22</f>
        <v>1574.4</v>
      </c>
      <c r="C10" s="149">
        <f aca="true" t="shared" si="4" ref="C10:AE10">C14+C18+C22</f>
        <v>418.092</v>
      </c>
      <c r="D10" s="149">
        <f t="shared" si="4"/>
        <v>418.092</v>
      </c>
      <c r="E10" s="149">
        <f t="shared" si="4"/>
        <v>304.76406000000003</v>
      </c>
      <c r="F10" s="176">
        <f>E10/B10</f>
        <v>0.19357473323170732</v>
      </c>
      <c r="G10" s="176">
        <f>E10/C10</f>
        <v>0.7289401854137368</v>
      </c>
      <c r="H10" s="149">
        <f t="shared" si="4"/>
        <v>0</v>
      </c>
      <c r="I10" s="149">
        <f t="shared" si="4"/>
        <v>0</v>
      </c>
      <c r="J10" s="149">
        <f t="shared" si="4"/>
        <v>109.47</v>
      </c>
      <c r="K10" s="149">
        <f t="shared" si="4"/>
        <v>51.27406</v>
      </c>
      <c r="L10" s="149">
        <f t="shared" si="4"/>
        <v>109.47</v>
      </c>
      <c r="M10" s="149">
        <f t="shared" si="4"/>
        <v>136.53</v>
      </c>
      <c r="N10" s="149">
        <f t="shared" si="4"/>
        <v>52.7</v>
      </c>
      <c r="O10" s="149">
        <f t="shared" si="4"/>
        <v>39.06</v>
      </c>
      <c r="P10" s="149">
        <f t="shared" si="4"/>
        <v>146.452</v>
      </c>
      <c r="Q10" s="149">
        <f t="shared" si="4"/>
        <v>77.9</v>
      </c>
      <c r="R10" s="149">
        <f t="shared" si="4"/>
        <v>347.05203</v>
      </c>
      <c r="S10" s="149">
        <f t="shared" si="4"/>
        <v>0</v>
      </c>
      <c r="T10" s="149">
        <f t="shared" si="4"/>
        <v>280</v>
      </c>
      <c r="U10" s="149">
        <f t="shared" si="4"/>
        <v>0</v>
      </c>
      <c r="V10" s="149">
        <f t="shared" si="4"/>
        <v>311.05</v>
      </c>
      <c r="W10" s="149">
        <f t="shared" si="4"/>
        <v>0</v>
      </c>
      <c r="X10" s="149">
        <f t="shared" si="4"/>
        <v>110.21</v>
      </c>
      <c r="Y10" s="149">
        <f t="shared" si="4"/>
        <v>0</v>
      </c>
      <c r="Z10" s="149">
        <f t="shared" si="4"/>
        <v>45.05</v>
      </c>
      <c r="AA10" s="149">
        <f t="shared" si="4"/>
        <v>0</v>
      </c>
      <c r="AB10" s="149">
        <f t="shared" si="4"/>
        <v>62.94597</v>
      </c>
      <c r="AC10" s="149">
        <f t="shared" si="4"/>
        <v>0</v>
      </c>
      <c r="AD10" s="149">
        <f t="shared" si="4"/>
        <v>0</v>
      </c>
      <c r="AE10" s="149">
        <f t="shared" si="4"/>
        <v>0</v>
      </c>
      <c r="AF10" s="154"/>
      <c r="AH10" s="97"/>
    </row>
    <row r="11" spans="1:34" s="18" customFormat="1" ht="24" customHeight="1">
      <c r="A11" s="153" t="s">
        <v>25</v>
      </c>
      <c r="B11" s="149">
        <f>B15+B19+B23+B26+B29+B32+B35+B41</f>
        <v>17168.6</v>
      </c>
      <c r="C11" s="149">
        <f aca="true" t="shared" si="5" ref="C11:AE11">C15+C19+C23+C26+C29+C32+C35+C41</f>
        <v>3748.4982</v>
      </c>
      <c r="D11" s="149">
        <f t="shared" si="5"/>
        <v>9669.552</v>
      </c>
      <c r="E11" s="149">
        <f t="shared" si="5"/>
        <v>2975.72455</v>
      </c>
      <c r="F11" s="176">
        <f>E11/B11</f>
        <v>0.1733236577239845</v>
      </c>
      <c r="G11" s="176">
        <f>E11/C11</f>
        <v>0.7938444654982094</v>
      </c>
      <c r="H11" s="149">
        <f t="shared" si="5"/>
        <v>0</v>
      </c>
      <c r="I11" s="149">
        <f t="shared" si="5"/>
        <v>0</v>
      </c>
      <c r="J11" s="149">
        <f t="shared" si="5"/>
        <v>417.8292</v>
      </c>
      <c r="K11" s="149">
        <f t="shared" si="5"/>
        <v>213.89455</v>
      </c>
      <c r="L11" s="149">
        <f t="shared" si="5"/>
        <v>930.023</v>
      </c>
      <c r="M11" s="149">
        <f t="shared" si="5"/>
        <v>783.43</v>
      </c>
      <c r="N11" s="149">
        <f t="shared" si="5"/>
        <v>1257.304</v>
      </c>
      <c r="O11" s="149">
        <f t="shared" si="5"/>
        <v>1079.2</v>
      </c>
      <c r="P11" s="149">
        <f t="shared" si="5"/>
        <v>1143.342</v>
      </c>
      <c r="Q11" s="149">
        <f t="shared" si="5"/>
        <v>899.2</v>
      </c>
      <c r="R11" s="149">
        <f t="shared" si="5"/>
        <v>3370.64</v>
      </c>
      <c r="S11" s="149">
        <f t="shared" si="5"/>
        <v>0</v>
      </c>
      <c r="T11" s="149">
        <f t="shared" si="5"/>
        <v>3161.27</v>
      </c>
      <c r="U11" s="149">
        <f t="shared" si="5"/>
        <v>0</v>
      </c>
      <c r="V11" s="149">
        <f t="shared" si="5"/>
        <v>3170.6099999999997</v>
      </c>
      <c r="W11" s="149">
        <f t="shared" si="5"/>
        <v>0</v>
      </c>
      <c r="X11" s="149">
        <f t="shared" si="5"/>
        <v>841.682</v>
      </c>
      <c r="Y11" s="149">
        <f t="shared" si="5"/>
        <v>0</v>
      </c>
      <c r="Z11" s="149">
        <f t="shared" si="5"/>
        <v>1004.202</v>
      </c>
      <c r="AA11" s="149">
        <f t="shared" si="5"/>
        <v>0</v>
      </c>
      <c r="AB11" s="149">
        <f t="shared" si="5"/>
        <v>1050.644</v>
      </c>
      <c r="AC11" s="149">
        <f t="shared" si="5"/>
        <v>0</v>
      </c>
      <c r="AD11" s="149">
        <f t="shared" si="5"/>
        <v>821.0538</v>
      </c>
      <c r="AE11" s="149">
        <f t="shared" si="5"/>
        <v>0</v>
      </c>
      <c r="AF11" s="154"/>
      <c r="AH11" s="97"/>
    </row>
    <row r="12" spans="1:34" s="18" customFormat="1" ht="77.25" customHeight="1">
      <c r="A12" s="45" t="s">
        <v>171</v>
      </c>
      <c r="B12" s="107"/>
      <c r="C12" s="106"/>
      <c r="D12" s="106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92" t="s">
        <v>185</v>
      </c>
      <c r="AH12" s="97"/>
    </row>
    <row r="13" spans="1:34" s="18" customFormat="1" ht="18.75">
      <c r="A13" s="108" t="s">
        <v>32</v>
      </c>
      <c r="B13" s="116">
        <f>B14+B15</f>
        <v>6530.5</v>
      </c>
      <c r="C13" s="116">
        <f>C14+C15</f>
        <v>0</v>
      </c>
      <c r="D13" s="116">
        <f>D14+D15</f>
        <v>0</v>
      </c>
      <c r="E13" s="116">
        <f>E14+E15</f>
        <v>0</v>
      </c>
      <c r="F13" s="123">
        <v>0</v>
      </c>
      <c r="G13" s="123">
        <v>0</v>
      </c>
      <c r="H13" s="117">
        <f>H14+H15</f>
        <v>0</v>
      </c>
      <c r="I13" s="117">
        <f aca="true" t="shared" si="6" ref="I13:AE13">I14+I15</f>
        <v>0</v>
      </c>
      <c r="J13" s="117">
        <f t="shared" si="6"/>
        <v>0</v>
      </c>
      <c r="K13" s="117">
        <f t="shared" si="6"/>
        <v>0</v>
      </c>
      <c r="L13" s="117">
        <f t="shared" si="6"/>
        <v>0</v>
      </c>
      <c r="M13" s="117">
        <f t="shared" si="6"/>
        <v>0</v>
      </c>
      <c r="N13" s="117">
        <f t="shared" si="6"/>
        <v>0</v>
      </c>
      <c r="O13" s="117">
        <f t="shared" si="6"/>
        <v>0</v>
      </c>
      <c r="P13" s="117">
        <f t="shared" si="6"/>
        <v>0</v>
      </c>
      <c r="Q13" s="117">
        <f t="shared" si="6"/>
        <v>0</v>
      </c>
      <c r="R13" s="117">
        <f t="shared" si="6"/>
        <v>2176.84</v>
      </c>
      <c r="S13" s="117">
        <f t="shared" si="6"/>
        <v>0</v>
      </c>
      <c r="T13" s="117">
        <f t="shared" si="6"/>
        <v>2176.83</v>
      </c>
      <c r="U13" s="117">
        <f t="shared" si="6"/>
        <v>0</v>
      </c>
      <c r="V13" s="117">
        <f t="shared" si="6"/>
        <v>2176.83</v>
      </c>
      <c r="W13" s="117">
        <f t="shared" si="6"/>
        <v>0</v>
      </c>
      <c r="X13" s="117">
        <f t="shared" si="6"/>
        <v>0</v>
      </c>
      <c r="Y13" s="117">
        <f t="shared" si="6"/>
        <v>0</v>
      </c>
      <c r="Z13" s="117">
        <f t="shared" si="6"/>
        <v>0</v>
      </c>
      <c r="AA13" s="117">
        <f t="shared" si="6"/>
        <v>0</v>
      </c>
      <c r="AB13" s="117">
        <f t="shared" si="6"/>
        <v>0</v>
      </c>
      <c r="AC13" s="117">
        <f t="shared" si="6"/>
        <v>0</v>
      </c>
      <c r="AD13" s="117">
        <f t="shared" si="6"/>
        <v>0</v>
      </c>
      <c r="AE13" s="117">
        <f t="shared" si="6"/>
        <v>0</v>
      </c>
      <c r="AF13" s="193"/>
      <c r="AH13" s="97"/>
    </row>
    <row r="14" spans="1:34" s="136" customFormat="1" ht="18.75">
      <c r="A14" s="132" t="s">
        <v>24</v>
      </c>
      <c r="B14" s="133">
        <f>H14+J14+L14+N14+P14+R14+T14+V14+X14+Z14+AB14+AD14</f>
        <v>840</v>
      </c>
      <c r="C14" s="134">
        <f>H14</f>
        <v>0</v>
      </c>
      <c r="D14" s="133"/>
      <c r="E14" s="134">
        <f>I14+K14+M14+O14+Q14+S14+U14+W14+Y14+AA14+AC14+AE14</f>
        <v>0</v>
      </c>
      <c r="F14" s="135">
        <v>0</v>
      </c>
      <c r="G14" s="135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f>280000/1000</f>
        <v>280</v>
      </c>
      <c r="S14" s="134">
        <v>0</v>
      </c>
      <c r="T14" s="134">
        <f>280000/1000</f>
        <v>280</v>
      </c>
      <c r="U14" s="134">
        <v>0</v>
      </c>
      <c r="V14" s="134">
        <f>280000/1000</f>
        <v>280</v>
      </c>
      <c r="W14" s="134">
        <v>0</v>
      </c>
      <c r="X14" s="134">
        <v>0</v>
      </c>
      <c r="Y14" s="134"/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93"/>
      <c r="AH14" s="137"/>
    </row>
    <row r="15" spans="1:34" s="136" customFormat="1" ht="30.75" customHeight="1">
      <c r="A15" s="132" t="s">
        <v>25</v>
      </c>
      <c r="B15" s="133">
        <f>H15+J15+L15+N15+P15+R15+T15+V15+X15+Z15+AB15+AD15</f>
        <v>5690.5</v>
      </c>
      <c r="C15" s="134">
        <f>H15</f>
        <v>0</v>
      </c>
      <c r="D15" s="133"/>
      <c r="E15" s="134">
        <f>I15+K15+M15+O15+Q15+S15+U15+W15+Y15+AA15+AC15+AE15</f>
        <v>0</v>
      </c>
      <c r="F15" s="135">
        <v>0</v>
      </c>
      <c r="G15" s="135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f>1896840/1000</f>
        <v>1896.84</v>
      </c>
      <c r="S15" s="134">
        <v>0</v>
      </c>
      <c r="T15" s="134">
        <f>1896830/1000</f>
        <v>1896.83</v>
      </c>
      <c r="U15" s="134">
        <v>0</v>
      </c>
      <c r="V15" s="134">
        <f>1896830/1000</f>
        <v>1896.83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94"/>
      <c r="AH15" s="137"/>
    </row>
    <row r="16" spans="1:34" s="18" customFormat="1" ht="76.5" customHeight="1">
      <c r="A16" s="46" t="s">
        <v>156</v>
      </c>
      <c r="B16" s="119"/>
      <c r="C16" s="120"/>
      <c r="D16" s="120"/>
      <c r="E16" s="120"/>
      <c r="F16" s="125"/>
      <c r="G16" s="125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92" t="s">
        <v>186</v>
      </c>
      <c r="AH16" s="97"/>
    </row>
    <row r="17" spans="1:34" s="18" customFormat="1" ht="18.75" customHeight="1">
      <c r="A17" s="108" t="s">
        <v>32</v>
      </c>
      <c r="B17" s="116">
        <f>B19+B18</f>
        <v>761.9</v>
      </c>
      <c r="C17" s="116">
        <f>C19+C18</f>
        <v>435.37399999999997</v>
      </c>
      <c r="D17" s="116">
        <f>D19+D18</f>
        <v>435.374</v>
      </c>
      <c r="E17" s="116">
        <f>E19+E18</f>
        <v>431.29755</v>
      </c>
      <c r="F17" s="123">
        <f>E17/B17</f>
        <v>0.5660815723848274</v>
      </c>
      <c r="G17" s="123">
        <f>E17/C17</f>
        <v>0.9906369006876847</v>
      </c>
      <c r="H17" s="116">
        <f>H19+H18</f>
        <v>0</v>
      </c>
      <c r="I17" s="116">
        <f aca="true" t="shared" si="7" ref="I17:AE17">I19+I18</f>
        <v>0</v>
      </c>
      <c r="J17" s="116">
        <f t="shared" si="7"/>
        <v>108.844</v>
      </c>
      <c r="K17" s="116">
        <f t="shared" si="7"/>
        <v>67.27755</v>
      </c>
      <c r="L17" s="116">
        <f t="shared" si="7"/>
        <v>108.844</v>
      </c>
      <c r="M17" s="116">
        <f t="shared" si="7"/>
        <v>148.22</v>
      </c>
      <c r="N17" s="116">
        <f t="shared" si="7"/>
        <v>108.844</v>
      </c>
      <c r="O17" s="116">
        <f t="shared" si="7"/>
        <v>104.28999999999999</v>
      </c>
      <c r="P17" s="116">
        <f t="shared" si="7"/>
        <v>108.842</v>
      </c>
      <c r="Q17" s="116">
        <f t="shared" si="7"/>
        <v>111.50999999999999</v>
      </c>
      <c r="R17" s="116">
        <f t="shared" si="7"/>
        <v>0</v>
      </c>
      <c r="S17" s="116">
        <f t="shared" si="7"/>
        <v>0</v>
      </c>
      <c r="T17" s="116">
        <f t="shared" si="7"/>
        <v>0</v>
      </c>
      <c r="U17" s="116">
        <f t="shared" si="7"/>
        <v>0</v>
      </c>
      <c r="V17" s="116">
        <f t="shared" si="7"/>
        <v>0</v>
      </c>
      <c r="W17" s="116">
        <f t="shared" si="7"/>
        <v>0</v>
      </c>
      <c r="X17" s="116">
        <f t="shared" si="7"/>
        <v>108.842</v>
      </c>
      <c r="Y17" s="116">
        <f t="shared" si="7"/>
        <v>0</v>
      </c>
      <c r="Z17" s="116">
        <f t="shared" si="7"/>
        <v>108.842</v>
      </c>
      <c r="AA17" s="116">
        <f t="shared" si="7"/>
        <v>0</v>
      </c>
      <c r="AB17" s="116">
        <f t="shared" si="7"/>
        <v>108.842</v>
      </c>
      <c r="AC17" s="116">
        <f t="shared" si="7"/>
        <v>0</v>
      </c>
      <c r="AD17" s="116">
        <f t="shared" si="7"/>
        <v>0</v>
      </c>
      <c r="AE17" s="116">
        <f t="shared" si="7"/>
        <v>0</v>
      </c>
      <c r="AF17" s="193"/>
      <c r="AH17" s="97"/>
    </row>
    <row r="18" spans="1:34" s="136" customFormat="1" ht="18.75" customHeight="1">
      <c r="A18" s="132" t="s">
        <v>24</v>
      </c>
      <c r="B18" s="133">
        <f>H18+J18+L18+N18+P18+R18+T18+V18+X18+Z18+AB18+AD18</f>
        <v>98</v>
      </c>
      <c r="C18" s="134">
        <f>H18+J18+L18+N18+P18</f>
        <v>56</v>
      </c>
      <c r="D18" s="133">
        <v>56</v>
      </c>
      <c r="E18" s="134">
        <f>I18+K18+M18+O18+Q18+S18+U18+W18+Y18+AA18+AC18+AE18</f>
        <v>56.023</v>
      </c>
      <c r="F18" s="135">
        <f>E18/B18</f>
        <v>0.5716632653061224</v>
      </c>
      <c r="G18" s="135">
        <f>E18/C18</f>
        <v>1.0004107142857144</v>
      </c>
      <c r="H18" s="134">
        <v>0</v>
      </c>
      <c r="I18" s="134">
        <v>0</v>
      </c>
      <c r="J18" s="134">
        <f>14000/1000</f>
        <v>14</v>
      </c>
      <c r="K18" s="134">
        <f>10753/1000</f>
        <v>10.753</v>
      </c>
      <c r="L18" s="134">
        <f>14000/1000</f>
        <v>14</v>
      </c>
      <c r="M18" s="134">
        <v>17.24</v>
      </c>
      <c r="N18" s="134">
        <f>14000/1000</f>
        <v>14</v>
      </c>
      <c r="O18" s="134">
        <v>7.93</v>
      </c>
      <c r="P18" s="134">
        <f>14000/1000</f>
        <v>14</v>
      </c>
      <c r="Q18" s="134">
        <v>20.1</v>
      </c>
      <c r="R18" s="134">
        <v>0</v>
      </c>
      <c r="S18" s="134">
        <v>0</v>
      </c>
      <c r="T18" s="134">
        <v>0</v>
      </c>
      <c r="U18" s="134"/>
      <c r="V18" s="134">
        <v>0</v>
      </c>
      <c r="W18" s="134">
        <v>0</v>
      </c>
      <c r="X18" s="134">
        <f>14000/1000</f>
        <v>14</v>
      </c>
      <c r="Y18" s="134">
        <v>0</v>
      </c>
      <c r="Z18" s="134">
        <f>14000/1000</f>
        <v>14</v>
      </c>
      <c r="AA18" s="134">
        <v>0</v>
      </c>
      <c r="AB18" s="134">
        <f>14000/1000</f>
        <v>14</v>
      </c>
      <c r="AC18" s="134"/>
      <c r="AD18" s="134">
        <v>0</v>
      </c>
      <c r="AE18" s="134">
        <v>0</v>
      </c>
      <c r="AF18" s="193"/>
      <c r="AG18" s="138"/>
      <c r="AH18" s="137"/>
    </row>
    <row r="19" spans="1:34" s="136" customFormat="1" ht="29.25" customHeight="1">
      <c r="A19" s="132" t="s">
        <v>25</v>
      </c>
      <c r="B19" s="133">
        <f>H19+J19+L19+N19+P19+R19+T19+V19+X19+Z19+AB19+AD19</f>
        <v>663.9</v>
      </c>
      <c r="C19" s="134">
        <f>H19+J19+L19+N19+P19</f>
        <v>379.37399999999997</v>
      </c>
      <c r="D19" s="133">
        <v>379.374</v>
      </c>
      <c r="E19" s="134">
        <f>I19+K19+M19+O19+Q19+S19+U19+W19+Y19+AA19+AC19+AE19</f>
        <v>375.27455</v>
      </c>
      <c r="F19" s="135">
        <f>E19/B19</f>
        <v>0.5652576442235276</v>
      </c>
      <c r="G19" s="135">
        <f>E19/C19</f>
        <v>0.9891941725052323</v>
      </c>
      <c r="H19" s="134">
        <v>0</v>
      </c>
      <c r="I19" s="134">
        <v>0</v>
      </c>
      <c r="J19" s="134">
        <f>94844/1000</f>
        <v>94.844</v>
      </c>
      <c r="K19" s="134">
        <f>56524.55/1000</f>
        <v>56.524550000000005</v>
      </c>
      <c r="L19" s="134">
        <f>94844/1000</f>
        <v>94.844</v>
      </c>
      <c r="M19" s="134">
        <v>130.98</v>
      </c>
      <c r="N19" s="134">
        <f>94844/1000</f>
        <v>94.844</v>
      </c>
      <c r="O19" s="134">
        <v>96.36</v>
      </c>
      <c r="P19" s="134">
        <f>94842/1000</f>
        <v>94.842</v>
      </c>
      <c r="Q19" s="134">
        <v>91.41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f>94842/1000</f>
        <v>94.842</v>
      </c>
      <c r="Y19" s="134"/>
      <c r="Z19" s="134">
        <f>94842/1000</f>
        <v>94.842</v>
      </c>
      <c r="AA19" s="134"/>
      <c r="AB19" s="134">
        <f>94842/1000</f>
        <v>94.842</v>
      </c>
      <c r="AC19" s="134"/>
      <c r="AD19" s="134">
        <v>0</v>
      </c>
      <c r="AE19" s="134">
        <v>0</v>
      </c>
      <c r="AF19" s="194"/>
      <c r="AG19" s="138"/>
      <c r="AH19" s="137"/>
    </row>
    <row r="20" spans="1:34" s="18" customFormat="1" ht="75" customHeight="1">
      <c r="A20" s="45" t="s">
        <v>157</v>
      </c>
      <c r="B20" s="118"/>
      <c r="C20" s="120"/>
      <c r="D20" s="120"/>
      <c r="E20" s="120"/>
      <c r="F20" s="125"/>
      <c r="G20" s="12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92" t="s">
        <v>187</v>
      </c>
      <c r="AH20" s="97"/>
    </row>
    <row r="21" spans="1:34" s="18" customFormat="1" ht="20.25">
      <c r="A21" s="108" t="s">
        <v>32</v>
      </c>
      <c r="B21" s="116">
        <f>B22+B23</f>
        <v>870.8</v>
      </c>
      <c r="C21" s="116">
        <f>C22+C23</f>
        <v>493.85</v>
      </c>
      <c r="D21" s="116">
        <f>D22+D23</f>
        <v>493.85</v>
      </c>
      <c r="E21" s="116">
        <f>E22+E23</f>
        <v>375.62106</v>
      </c>
      <c r="F21" s="123">
        <f>E21/B21</f>
        <v>0.4313516995865871</v>
      </c>
      <c r="G21" s="123">
        <f>E21/C21</f>
        <v>0.7605974688670648</v>
      </c>
      <c r="H21" s="117">
        <f aca="true" t="shared" si="8" ref="H21:AE21">H22+H23</f>
        <v>0</v>
      </c>
      <c r="I21" s="117">
        <f t="shared" si="8"/>
        <v>0</v>
      </c>
      <c r="J21" s="117">
        <f t="shared" si="8"/>
        <v>130.649</v>
      </c>
      <c r="K21" s="117">
        <f t="shared" si="8"/>
        <v>40.52106</v>
      </c>
      <c r="L21" s="117">
        <f t="shared" si="8"/>
        <v>130.649</v>
      </c>
      <c r="M21" s="117">
        <f t="shared" si="8"/>
        <v>168.33</v>
      </c>
      <c r="N21" s="117">
        <f t="shared" si="8"/>
        <v>38.7</v>
      </c>
      <c r="O21" s="117">
        <f t="shared" si="8"/>
        <v>50.599999999999994</v>
      </c>
      <c r="P21" s="117">
        <f t="shared" si="8"/>
        <v>193.852</v>
      </c>
      <c r="Q21" s="117">
        <f t="shared" si="8"/>
        <v>116.16999999999999</v>
      </c>
      <c r="R21" s="117">
        <f t="shared" si="8"/>
        <v>67.05203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31.05</v>
      </c>
      <c r="W21" s="117">
        <f t="shared" si="8"/>
        <v>0</v>
      </c>
      <c r="X21" s="117">
        <f t="shared" si="8"/>
        <v>143.05</v>
      </c>
      <c r="Y21" s="117">
        <f t="shared" si="8"/>
        <v>0</v>
      </c>
      <c r="Z21" s="117">
        <f t="shared" si="8"/>
        <v>31.05</v>
      </c>
      <c r="AA21" s="117">
        <f t="shared" si="8"/>
        <v>0</v>
      </c>
      <c r="AB21" s="117">
        <f t="shared" si="8"/>
        <v>104.74797000000001</v>
      </c>
      <c r="AC21" s="117">
        <f t="shared" si="8"/>
        <v>0</v>
      </c>
      <c r="AD21" s="117">
        <f t="shared" si="8"/>
        <v>0</v>
      </c>
      <c r="AE21" s="117">
        <f t="shared" si="8"/>
        <v>0</v>
      </c>
      <c r="AF21" s="193"/>
      <c r="AG21" s="92"/>
      <c r="AH21" s="98"/>
    </row>
    <row r="22" spans="1:34" s="136" customFormat="1" ht="20.25" customHeight="1">
      <c r="A22" s="132" t="s">
        <v>24</v>
      </c>
      <c r="B22" s="133">
        <f>H22+J22+L22+N22+P22+R22+T22+V22+X22+Z22+AB22+AD22</f>
        <v>636.4</v>
      </c>
      <c r="C22" s="134">
        <f>H22+J22+L22+N22+P22</f>
        <v>362.092</v>
      </c>
      <c r="D22" s="133">
        <v>362.092</v>
      </c>
      <c r="E22" s="134">
        <f>I22+K22+M22+O22+Q22+S22+U22+W22+Y22+AA22+AC22+AE22</f>
        <v>248.74106</v>
      </c>
      <c r="F22" s="135">
        <f>E22/B22</f>
        <v>0.39085647391577627</v>
      </c>
      <c r="G22" s="135">
        <f>E22/C22</f>
        <v>0.6869554146460016</v>
      </c>
      <c r="H22" s="134">
        <v>0</v>
      </c>
      <c r="I22" s="134">
        <v>0</v>
      </c>
      <c r="J22" s="134">
        <f>95470/1000</f>
        <v>95.47</v>
      </c>
      <c r="K22" s="134">
        <f>40521.06/1000</f>
        <v>40.52106</v>
      </c>
      <c r="L22" s="134">
        <f>95470/1000</f>
        <v>95.47</v>
      </c>
      <c r="M22" s="134">
        <v>119.29</v>
      </c>
      <c r="N22" s="134">
        <f>38700/1000</f>
        <v>38.7</v>
      </c>
      <c r="O22" s="134">
        <v>31.13</v>
      </c>
      <c r="P22" s="134">
        <f>132452/1000</f>
        <v>132.452</v>
      </c>
      <c r="Q22" s="134">
        <v>57.8</v>
      </c>
      <c r="R22" s="134">
        <f>67052.03/1000</f>
        <v>67.05203</v>
      </c>
      <c r="S22" s="134">
        <v>0</v>
      </c>
      <c r="T22" s="134"/>
      <c r="U22" s="134"/>
      <c r="V22" s="134">
        <f>31050/1000</f>
        <v>31.05</v>
      </c>
      <c r="W22" s="134"/>
      <c r="X22" s="134">
        <f>96210/1000</f>
        <v>96.21</v>
      </c>
      <c r="Y22" s="134"/>
      <c r="Z22" s="134">
        <f>31050/1000</f>
        <v>31.05</v>
      </c>
      <c r="AA22" s="134">
        <v>0</v>
      </c>
      <c r="AB22" s="134">
        <f>48945.97/1000</f>
        <v>48.94597</v>
      </c>
      <c r="AC22" s="134"/>
      <c r="AD22" s="134">
        <v>0</v>
      </c>
      <c r="AE22" s="134"/>
      <c r="AF22" s="193"/>
      <c r="AG22" s="139"/>
      <c r="AH22" s="140"/>
    </row>
    <row r="23" spans="1:34" s="136" customFormat="1" ht="23.25" customHeight="1">
      <c r="A23" s="132" t="s">
        <v>25</v>
      </c>
      <c r="B23" s="133">
        <f>H23+J23+L23+N23+P23+R23+T23+V23+X23+Z23+AB23+AD23</f>
        <v>234.4</v>
      </c>
      <c r="C23" s="134">
        <f>H23+J23+L23+N23+P23</f>
        <v>131.758</v>
      </c>
      <c r="D23" s="133">
        <v>131.758</v>
      </c>
      <c r="E23" s="134">
        <f>I23+K23+M23+O23+Q23+S23+U23+W23+Y23+AA23+AC23+AE23</f>
        <v>126.88</v>
      </c>
      <c r="F23" s="135">
        <f>E23/B23</f>
        <v>0.541296928327645</v>
      </c>
      <c r="G23" s="135">
        <f>E23/C23</f>
        <v>0.9629775801089876</v>
      </c>
      <c r="H23" s="134">
        <v>0</v>
      </c>
      <c r="I23" s="134">
        <v>0</v>
      </c>
      <c r="J23" s="134">
        <f>35179/1000</f>
        <v>35.179</v>
      </c>
      <c r="K23" s="134">
        <v>0</v>
      </c>
      <c r="L23" s="134">
        <f>35179/1000</f>
        <v>35.179</v>
      </c>
      <c r="M23" s="134">
        <v>49.04</v>
      </c>
      <c r="N23" s="134">
        <v>0</v>
      </c>
      <c r="O23" s="134">
        <v>19.47</v>
      </c>
      <c r="P23" s="134">
        <f>61400/1000</f>
        <v>61.4</v>
      </c>
      <c r="Q23" s="134">
        <v>58.37</v>
      </c>
      <c r="R23" s="134"/>
      <c r="S23" s="134"/>
      <c r="T23" s="134"/>
      <c r="U23" s="134"/>
      <c r="V23" s="134">
        <v>0</v>
      </c>
      <c r="W23" s="134"/>
      <c r="X23" s="134">
        <f>46840/1000</f>
        <v>46.84</v>
      </c>
      <c r="Y23" s="134"/>
      <c r="Z23" s="134">
        <v>0</v>
      </c>
      <c r="AA23" s="134"/>
      <c r="AB23" s="134">
        <f>55802/1000</f>
        <v>55.802</v>
      </c>
      <c r="AC23" s="134">
        <v>0</v>
      </c>
      <c r="AD23" s="134">
        <v>0</v>
      </c>
      <c r="AE23" s="134">
        <v>0</v>
      </c>
      <c r="AF23" s="194"/>
      <c r="AG23" s="139"/>
      <c r="AH23" s="140"/>
    </row>
    <row r="24" spans="1:34" s="18" customFormat="1" ht="96" customHeight="1">
      <c r="A24" s="45" t="s">
        <v>158</v>
      </c>
      <c r="B24" s="118"/>
      <c r="C24" s="120"/>
      <c r="D24" s="120"/>
      <c r="E24" s="120"/>
      <c r="F24" s="125"/>
      <c r="G24" s="125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92" t="s">
        <v>188</v>
      </c>
      <c r="AH24" s="97"/>
    </row>
    <row r="25" spans="1:34" s="18" customFormat="1" ht="18.75">
      <c r="A25" s="108" t="s">
        <v>32</v>
      </c>
      <c r="B25" s="116">
        <f aca="true" t="shared" si="9" ref="B25:AE25">B26</f>
        <v>587</v>
      </c>
      <c r="C25" s="116">
        <f t="shared" si="9"/>
        <v>558.92</v>
      </c>
      <c r="D25" s="116">
        <f t="shared" si="9"/>
        <v>558.92</v>
      </c>
      <c r="E25" s="116">
        <f t="shared" si="9"/>
        <v>453.4</v>
      </c>
      <c r="F25" s="123">
        <f>E25/B25</f>
        <v>0.7724020442930153</v>
      </c>
      <c r="G25" s="123">
        <f>E25/C25</f>
        <v>0.8112073284190939</v>
      </c>
      <c r="H25" s="117">
        <f t="shared" si="9"/>
        <v>0</v>
      </c>
      <c r="I25" s="117">
        <f t="shared" si="9"/>
        <v>0</v>
      </c>
      <c r="J25" s="117">
        <f t="shared" si="9"/>
        <v>9.36</v>
      </c>
      <c r="K25" s="117">
        <f t="shared" si="9"/>
        <v>2.07</v>
      </c>
      <c r="L25" s="117">
        <f t="shared" si="9"/>
        <v>0</v>
      </c>
      <c r="M25" s="117">
        <f t="shared" si="9"/>
        <v>0</v>
      </c>
      <c r="N25" s="117">
        <f t="shared" si="9"/>
        <v>362.46</v>
      </c>
      <c r="O25" s="117">
        <f t="shared" si="9"/>
        <v>337.51</v>
      </c>
      <c r="P25" s="117">
        <f t="shared" si="9"/>
        <v>187.1</v>
      </c>
      <c r="Q25" s="117">
        <f t="shared" si="9"/>
        <v>113.82</v>
      </c>
      <c r="R25" s="117">
        <f t="shared" si="9"/>
        <v>9.36</v>
      </c>
      <c r="S25" s="117">
        <f t="shared" si="9"/>
        <v>0</v>
      </c>
      <c r="T25" s="117">
        <f t="shared" si="9"/>
        <v>0</v>
      </c>
      <c r="U25" s="117">
        <f t="shared" si="9"/>
        <v>0</v>
      </c>
      <c r="V25" s="117">
        <f t="shared" si="9"/>
        <v>9.36</v>
      </c>
      <c r="W25" s="117">
        <f t="shared" si="9"/>
        <v>0</v>
      </c>
      <c r="X25" s="117">
        <f t="shared" si="9"/>
        <v>0</v>
      </c>
      <c r="Y25" s="117">
        <f t="shared" si="9"/>
        <v>0</v>
      </c>
      <c r="Z25" s="117">
        <f t="shared" si="9"/>
        <v>9.36</v>
      </c>
      <c r="AA25" s="117">
        <f t="shared" si="9"/>
        <v>0</v>
      </c>
      <c r="AB25" s="117">
        <f t="shared" si="9"/>
        <v>0</v>
      </c>
      <c r="AC25" s="117">
        <f t="shared" si="9"/>
        <v>0</v>
      </c>
      <c r="AD25" s="117">
        <f t="shared" si="9"/>
        <v>0</v>
      </c>
      <c r="AE25" s="117">
        <f t="shared" si="9"/>
        <v>0</v>
      </c>
      <c r="AF25" s="193"/>
      <c r="AH25" s="97"/>
    </row>
    <row r="26" spans="1:34" s="136" customFormat="1" ht="18.75">
      <c r="A26" s="132" t="s">
        <v>25</v>
      </c>
      <c r="B26" s="133">
        <f>H26+J26+L26+N26+P26+R26+T26+V26+X26+Z26+AB26+AD26</f>
        <v>587</v>
      </c>
      <c r="C26" s="134">
        <f>H26+J26+L26+N26+P26</f>
        <v>558.92</v>
      </c>
      <c r="D26" s="133">
        <v>558.92</v>
      </c>
      <c r="E26" s="134">
        <f>I26+K26+M26+O26+Q26+S26+U26+W26+Y26+AA26+AC26+AE26</f>
        <v>453.4</v>
      </c>
      <c r="F26" s="135">
        <f>E26/B26</f>
        <v>0.7724020442930153</v>
      </c>
      <c r="G26" s="135">
        <f>E26/C26</f>
        <v>0.8112073284190939</v>
      </c>
      <c r="H26" s="134">
        <v>0</v>
      </c>
      <c r="I26" s="134">
        <v>0</v>
      </c>
      <c r="J26" s="134">
        <f>9360/1000</f>
        <v>9.36</v>
      </c>
      <c r="K26" s="134">
        <v>2.07</v>
      </c>
      <c r="L26" s="134">
        <v>0</v>
      </c>
      <c r="M26" s="134"/>
      <c r="N26" s="134">
        <f>362460/1000</f>
        <v>362.46</v>
      </c>
      <c r="O26" s="134">
        <v>337.51</v>
      </c>
      <c r="P26" s="134">
        <f>187100/1000</f>
        <v>187.1</v>
      </c>
      <c r="Q26" s="134">
        <v>113.82</v>
      </c>
      <c r="R26" s="134">
        <f>9360/1000</f>
        <v>9.36</v>
      </c>
      <c r="S26" s="134"/>
      <c r="T26" s="134">
        <v>0</v>
      </c>
      <c r="U26" s="134"/>
      <c r="V26" s="134">
        <f>9360/1000</f>
        <v>9.36</v>
      </c>
      <c r="W26" s="134"/>
      <c r="X26" s="134">
        <v>0</v>
      </c>
      <c r="Y26" s="134">
        <v>0</v>
      </c>
      <c r="Z26" s="134">
        <f>9360/1000</f>
        <v>9.36</v>
      </c>
      <c r="AA26" s="134"/>
      <c r="AB26" s="134">
        <v>0</v>
      </c>
      <c r="AC26" s="134"/>
      <c r="AD26" s="134">
        <v>0</v>
      </c>
      <c r="AE26" s="134"/>
      <c r="AF26" s="194"/>
      <c r="AH26" s="137"/>
    </row>
    <row r="27" spans="1:34" s="18" customFormat="1" ht="46.5" customHeight="1">
      <c r="A27" s="45" t="s">
        <v>159</v>
      </c>
      <c r="B27" s="118"/>
      <c r="C27" s="120"/>
      <c r="D27" s="120"/>
      <c r="E27" s="120"/>
      <c r="F27" s="125"/>
      <c r="G27" s="124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84" t="s">
        <v>189</v>
      </c>
      <c r="AH27" s="97"/>
    </row>
    <row r="28" spans="1:34" s="18" customFormat="1" ht="20.25">
      <c r="A28" s="108" t="s">
        <v>32</v>
      </c>
      <c r="B28" s="116">
        <f>B29</f>
        <v>1393.3</v>
      </c>
      <c r="C28" s="116">
        <f aca="true" t="shared" si="10" ref="C28:AE28">C29</f>
        <v>0</v>
      </c>
      <c r="D28" s="116">
        <f t="shared" si="10"/>
        <v>0</v>
      </c>
      <c r="E28" s="116">
        <f t="shared" si="10"/>
        <v>0</v>
      </c>
      <c r="F28" s="123">
        <f>E28/B28</f>
        <v>0</v>
      </c>
      <c r="G28" s="123">
        <v>0</v>
      </c>
      <c r="H28" s="116">
        <f t="shared" si="10"/>
        <v>0</v>
      </c>
      <c r="I28" s="116">
        <f t="shared" si="10"/>
        <v>0</v>
      </c>
      <c r="J28" s="116">
        <f t="shared" si="10"/>
        <v>0</v>
      </c>
      <c r="K28" s="116">
        <f t="shared" si="10"/>
        <v>0</v>
      </c>
      <c r="L28" s="116">
        <f t="shared" si="10"/>
        <v>0</v>
      </c>
      <c r="M28" s="116">
        <f t="shared" si="10"/>
        <v>0</v>
      </c>
      <c r="N28" s="116">
        <f t="shared" si="10"/>
        <v>0</v>
      </c>
      <c r="O28" s="116">
        <f t="shared" si="10"/>
        <v>0</v>
      </c>
      <c r="P28" s="116">
        <f t="shared" si="10"/>
        <v>0</v>
      </c>
      <c r="Q28" s="116">
        <f t="shared" si="10"/>
        <v>0</v>
      </c>
      <c r="R28" s="116">
        <f t="shared" si="10"/>
        <v>464.44</v>
      </c>
      <c r="S28" s="116">
        <f t="shared" si="10"/>
        <v>0</v>
      </c>
      <c r="T28" s="116">
        <f t="shared" si="10"/>
        <v>464.44</v>
      </c>
      <c r="U28" s="116">
        <f t="shared" si="10"/>
        <v>0</v>
      </c>
      <c r="V28" s="116">
        <f t="shared" si="10"/>
        <v>464.42</v>
      </c>
      <c r="W28" s="116">
        <f t="shared" si="10"/>
        <v>0</v>
      </c>
      <c r="X28" s="116">
        <f t="shared" si="10"/>
        <v>0</v>
      </c>
      <c r="Y28" s="116">
        <f t="shared" si="10"/>
        <v>0</v>
      </c>
      <c r="Z28" s="116">
        <f t="shared" si="10"/>
        <v>0</v>
      </c>
      <c r="AA28" s="116">
        <f t="shared" si="10"/>
        <v>0</v>
      </c>
      <c r="AB28" s="116">
        <f t="shared" si="10"/>
        <v>0</v>
      </c>
      <c r="AC28" s="116">
        <f t="shared" si="10"/>
        <v>0</v>
      </c>
      <c r="AD28" s="116">
        <f t="shared" si="10"/>
        <v>0</v>
      </c>
      <c r="AE28" s="116">
        <f t="shared" si="10"/>
        <v>0</v>
      </c>
      <c r="AF28" s="110"/>
      <c r="AG28" s="92"/>
      <c r="AH28" s="97"/>
    </row>
    <row r="29" spans="1:34" s="136" customFormat="1" ht="20.25">
      <c r="A29" s="132" t="s">
        <v>25</v>
      </c>
      <c r="B29" s="133">
        <f>H29+J29+L29+N29+P29+R29+T29+V29+X29+Z29+AB29+AD29</f>
        <v>1393.3</v>
      </c>
      <c r="C29" s="134">
        <f>H29+J29+L29+N29</f>
        <v>0</v>
      </c>
      <c r="D29" s="133"/>
      <c r="E29" s="134">
        <f>I29+K29+M29+O29+Q29+S29+U29+W29+Y29+AA29+AC29+AE29</f>
        <v>0</v>
      </c>
      <c r="F29" s="135">
        <f>E29/B29</f>
        <v>0</v>
      </c>
      <c r="G29" s="135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34">
        <f>464440/1000</f>
        <v>464.44</v>
      </c>
      <c r="S29" s="134"/>
      <c r="T29" s="134">
        <f>464440/1000</f>
        <v>464.44</v>
      </c>
      <c r="U29" s="134"/>
      <c r="V29" s="134">
        <f>464420/1000</f>
        <v>464.42</v>
      </c>
      <c r="W29" s="134"/>
      <c r="X29" s="141">
        <v>0</v>
      </c>
      <c r="Y29" s="134"/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95" t="s">
        <v>194</v>
      </c>
      <c r="AG29" s="139"/>
      <c r="AH29" s="140"/>
    </row>
    <row r="30" spans="1:34" s="18" customFormat="1" ht="19.5" customHeight="1">
      <c r="A30" s="45" t="s">
        <v>160</v>
      </c>
      <c r="B30" s="118"/>
      <c r="C30" s="119"/>
      <c r="D30" s="119"/>
      <c r="E30" s="119"/>
      <c r="F30" s="124"/>
      <c r="G30" s="124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95"/>
      <c r="AH30" s="97"/>
    </row>
    <row r="31" spans="1:34" s="18" customFormat="1" ht="18.75">
      <c r="A31" s="108" t="s">
        <v>32</v>
      </c>
      <c r="B31" s="116">
        <f aca="true" t="shared" si="11" ref="B31:AE31">B32</f>
        <v>75.2</v>
      </c>
      <c r="C31" s="116">
        <f t="shared" si="11"/>
        <v>75.2</v>
      </c>
      <c r="D31" s="116">
        <f t="shared" si="11"/>
        <v>75.2</v>
      </c>
      <c r="E31" s="116">
        <f t="shared" si="11"/>
        <v>72.16</v>
      </c>
      <c r="F31" s="123">
        <f>E31/B31</f>
        <v>0.9595744680851063</v>
      </c>
      <c r="G31" s="123">
        <v>0</v>
      </c>
      <c r="H31" s="117">
        <f t="shared" si="11"/>
        <v>0</v>
      </c>
      <c r="I31" s="117">
        <f t="shared" si="11"/>
        <v>0</v>
      </c>
      <c r="J31" s="117">
        <f t="shared" si="11"/>
        <v>75.2</v>
      </c>
      <c r="K31" s="117">
        <f t="shared" si="11"/>
        <v>0</v>
      </c>
      <c r="L31" s="117">
        <f t="shared" si="11"/>
        <v>0</v>
      </c>
      <c r="M31" s="117">
        <f t="shared" si="11"/>
        <v>72.16</v>
      </c>
      <c r="N31" s="117">
        <f t="shared" si="11"/>
        <v>0</v>
      </c>
      <c r="O31" s="117">
        <f t="shared" si="11"/>
        <v>0</v>
      </c>
      <c r="P31" s="117">
        <f t="shared" si="11"/>
        <v>0</v>
      </c>
      <c r="Q31" s="117">
        <f t="shared" si="11"/>
        <v>0</v>
      </c>
      <c r="R31" s="117">
        <f t="shared" si="11"/>
        <v>0</v>
      </c>
      <c r="S31" s="117">
        <f t="shared" si="11"/>
        <v>0</v>
      </c>
      <c r="T31" s="117">
        <f t="shared" si="11"/>
        <v>0</v>
      </c>
      <c r="U31" s="117">
        <f t="shared" si="11"/>
        <v>0</v>
      </c>
      <c r="V31" s="117">
        <f t="shared" si="11"/>
        <v>0</v>
      </c>
      <c r="W31" s="117">
        <f t="shared" si="11"/>
        <v>0</v>
      </c>
      <c r="X31" s="117">
        <f t="shared" si="11"/>
        <v>0</v>
      </c>
      <c r="Y31" s="117">
        <f t="shared" si="11"/>
        <v>0</v>
      </c>
      <c r="Z31" s="117">
        <f t="shared" si="11"/>
        <v>0</v>
      </c>
      <c r="AA31" s="117">
        <f t="shared" si="11"/>
        <v>0</v>
      </c>
      <c r="AB31" s="117">
        <f t="shared" si="11"/>
        <v>0</v>
      </c>
      <c r="AC31" s="117">
        <f t="shared" si="11"/>
        <v>0</v>
      </c>
      <c r="AD31" s="117">
        <f t="shared" si="11"/>
        <v>0</v>
      </c>
      <c r="AE31" s="117">
        <f t="shared" si="11"/>
        <v>0</v>
      </c>
      <c r="AF31" s="110"/>
      <c r="AH31" s="97"/>
    </row>
    <row r="32" spans="1:34" s="136" customFormat="1" ht="18.75">
      <c r="A32" s="132" t="s">
        <v>25</v>
      </c>
      <c r="B32" s="133">
        <f>H32+J32+L32+N32+P32+R32+T32+V32+X32+Z32+AB32+AD32</f>
        <v>75.2</v>
      </c>
      <c r="C32" s="134">
        <f>H32+J32+L32+N32+P32</f>
        <v>75.2</v>
      </c>
      <c r="D32" s="134">
        <f>75200/1000</f>
        <v>75.2</v>
      </c>
      <c r="E32" s="134">
        <f>I32+K32+M32+O32+Q32+S32+U32+W32+Y32+AA32+AC32+AE32</f>
        <v>72.16</v>
      </c>
      <c r="F32" s="135">
        <f>E32/B32</f>
        <v>0.9595744680851063</v>
      </c>
      <c r="G32" s="135">
        <f>E32/C32</f>
        <v>0.9595744680851063</v>
      </c>
      <c r="H32" s="134">
        <v>0</v>
      </c>
      <c r="I32" s="134">
        <v>0</v>
      </c>
      <c r="J32" s="134">
        <f>75200/1000</f>
        <v>75.2</v>
      </c>
      <c r="K32" s="134">
        <v>0</v>
      </c>
      <c r="L32" s="134">
        <v>0</v>
      </c>
      <c r="M32" s="134">
        <v>72.16</v>
      </c>
      <c r="N32" s="134"/>
      <c r="O32" s="134">
        <v>0</v>
      </c>
      <c r="P32" s="134">
        <v>0</v>
      </c>
      <c r="Q32" s="134"/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0</v>
      </c>
      <c r="AD32" s="134">
        <v>0</v>
      </c>
      <c r="AE32" s="134">
        <v>0</v>
      </c>
      <c r="AF32" s="195" t="s">
        <v>190</v>
      </c>
      <c r="AH32" s="137"/>
    </row>
    <row r="33" spans="1:34" s="18" customFormat="1" ht="56.25">
      <c r="A33" s="45" t="s">
        <v>161</v>
      </c>
      <c r="B33" s="118"/>
      <c r="C33" s="120"/>
      <c r="D33" s="120"/>
      <c r="E33" s="120"/>
      <c r="F33" s="125"/>
      <c r="G33" s="125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95"/>
      <c r="AH33" s="97"/>
    </row>
    <row r="34" spans="1:34" s="18" customFormat="1" ht="18.75">
      <c r="A34" s="108" t="s">
        <v>32</v>
      </c>
      <c r="B34" s="116">
        <f aca="true" t="shared" si="12" ref="B34:AE34">B35</f>
        <v>0</v>
      </c>
      <c r="C34" s="116">
        <f t="shared" si="12"/>
        <v>0</v>
      </c>
      <c r="D34" s="116">
        <f t="shared" si="12"/>
        <v>0</v>
      </c>
      <c r="E34" s="116">
        <f t="shared" si="12"/>
        <v>0</v>
      </c>
      <c r="F34" s="123">
        <v>0</v>
      </c>
      <c r="G34" s="123">
        <v>0</v>
      </c>
      <c r="H34" s="117">
        <f t="shared" si="12"/>
        <v>0</v>
      </c>
      <c r="I34" s="117">
        <f t="shared" si="12"/>
        <v>0</v>
      </c>
      <c r="J34" s="117">
        <f t="shared" si="12"/>
        <v>0</v>
      </c>
      <c r="K34" s="117">
        <f t="shared" si="12"/>
        <v>0</v>
      </c>
      <c r="L34" s="117">
        <f t="shared" si="12"/>
        <v>0</v>
      </c>
      <c r="M34" s="117">
        <f t="shared" si="12"/>
        <v>0</v>
      </c>
      <c r="N34" s="117">
        <f t="shared" si="12"/>
        <v>0</v>
      </c>
      <c r="O34" s="117">
        <f t="shared" si="12"/>
        <v>0</v>
      </c>
      <c r="P34" s="117">
        <f t="shared" si="12"/>
        <v>0</v>
      </c>
      <c r="Q34" s="117">
        <f t="shared" si="12"/>
        <v>0</v>
      </c>
      <c r="R34" s="117">
        <f t="shared" si="12"/>
        <v>0</v>
      </c>
      <c r="S34" s="117">
        <f t="shared" si="12"/>
        <v>0</v>
      </c>
      <c r="T34" s="117">
        <f t="shared" si="12"/>
        <v>0</v>
      </c>
      <c r="U34" s="117">
        <f t="shared" si="12"/>
        <v>0</v>
      </c>
      <c r="V34" s="117">
        <f t="shared" si="12"/>
        <v>0</v>
      </c>
      <c r="W34" s="117">
        <f t="shared" si="12"/>
        <v>0</v>
      </c>
      <c r="X34" s="117">
        <f t="shared" si="12"/>
        <v>0</v>
      </c>
      <c r="Y34" s="117">
        <f t="shared" si="12"/>
        <v>0</v>
      </c>
      <c r="Z34" s="117">
        <f t="shared" si="12"/>
        <v>0</v>
      </c>
      <c r="AA34" s="117">
        <f t="shared" si="12"/>
        <v>0</v>
      </c>
      <c r="AB34" s="117">
        <f t="shared" si="12"/>
        <v>0</v>
      </c>
      <c r="AC34" s="117">
        <f t="shared" si="12"/>
        <v>0</v>
      </c>
      <c r="AD34" s="117">
        <f t="shared" si="12"/>
        <v>0</v>
      </c>
      <c r="AE34" s="117">
        <f t="shared" si="12"/>
        <v>0</v>
      </c>
      <c r="AF34" s="110"/>
      <c r="AH34" s="97"/>
    </row>
    <row r="35" spans="1:34" s="143" customFormat="1" ht="18.75">
      <c r="A35" s="132" t="s">
        <v>25</v>
      </c>
      <c r="B35" s="133">
        <f>H35+J35+L35+N35+P35+R35+T35+V35+X35+Z35+AB35+AD35</f>
        <v>0</v>
      </c>
      <c r="C35" s="134">
        <f>H35</f>
        <v>0</v>
      </c>
      <c r="D35" s="134">
        <f>H35+J35+L35+N35+P35+R35+T35+V35</f>
        <v>0</v>
      </c>
      <c r="E35" s="134">
        <f>I35+K35+M35+O35+Q35+S35+U35+W35+Y35+AA35+AC35+AE35</f>
        <v>0</v>
      </c>
      <c r="F35" s="135">
        <v>0</v>
      </c>
      <c r="G35" s="135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42"/>
      <c r="AH35" s="144"/>
    </row>
    <row r="36" spans="1:34" s="18" customFormat="1" ht="18.75">
      <c r="A36" s="113" t="s">
        <v>151</v>
      </c>
      <c r="B36" s="121">
        <f>B37+B38</f>
        <v>10218.699999999999</v>
      </c>
      <c r="C36" s="121">
        <f>C37+C38</f>
        <v>1563.344</v>
      </c>
      <c r="D36" s="121">
        <f aca="true" t="shared" si="13" ref="D36:AE36">D37+D38</f>
        <v>1563.344</v>
      </c>
      <c r="E36" s="121">
        <f t="shared" si="13"/>
        <v>1332.47861</v>
      </c>
      <c r="F36" s="126">
        <f>E36/B36</f>
        <v>0.1303960983295331</v>
      </c>
      <c r="G36" s="126">
        <f>E36/C36</f>
        <v>0.8523259180321157</v>
      </c>
      <c r="H36" s="121">
        <f t="shared" si="13"/>
        <v>0</v>
      </c>
      <c r="I36" s="121">
        <f t="shared" si="13"/>
        <v>0</v>
      </c>
      <c r="J36" s="121">
        <f t="shared" si="13"/>
        <v>324.053</v>
      </c>
      <c r="K36" s="121">
        <f t="shared" si="13"/>
        <v>109.86861</v>
      </c>
      <c r="L36" s="121">
        <f t="shared" si="13"/>
        <v>239.493</v>
      </c>
      <c r="M36" s="121">
        <f t="shared" si="13"/>
        <v>388.71</v>
      </c>
      <c r="N36" s="121">
        <f t="shared" si="13"/>
        <v>510.00399999999996</v>
      </c>
      <c r="O36" s="121">
        <f t="shared" si="13"/>
        <v>492.4</v>
      </c>
      <c r="P36" s="121">
        <f t="shared" si="13"/>
        <v>489.794</v>
      </c>
      <c r="Q36" s="121">
        <f t="shared" si="13"/>
        <v>341.5</v>
      </c>
      <c r="R36" s="121">
        <f t="shared" si="13"/>
        <v>2717.6920299999997</v>
      </c>
      <c r="S36" s="121">
        <f t="shared" si="13"/>
        <v>0</v>
      </c>
      <c r="T36" s="121">
        <f t="shared" si="13"/>
        <v>2641.27</v>
      </c>
      <c r="U36" s="121">
        <f>U37+U38</f>
        <v>0</v>
      </c>
      <c r="V36" s="121">
        <f t="shared" si="13"/>
        <v>2681.66</v>
      </c>
      <c r="W36" s="121">
        <f t="shared" si="13"/>
        <v>0</v>
      </c>
      <c r="X36" s="121">
        <f t="shared" si="13"/>
        <v>251.892</v>
      </c>
      <c r="Y36" s="121">
        <f t="shared" si="13"/>
        <v>0</v>
      </c>
      <c r="Z36" s="121">
        <f>Z37+Z38</f>
        <v>149.252</v>
      </c>
      <c r="AA36" s="121">
        <f t="shared" si="13"/>
        <v>0</v>
      </c>
      <c r="AB36" s="121">
        <f t="shared" si="13"/>
        <v>213.58997</v>
      </c>
      <c r="AC36" s="121">
        <f t="shared" si="13"/>
        <v>0</v>
      </c>
      <c r="AD36" s="121">
        <f t="shared" si="13"/>
        <v>0</v>
      </c>
      <c r="AE36" s="121">
        <f t="shared" si="13"/>
        <v>0</v>
      </c>
      <c r="AF36" s="114"/>
      <c r="AH36" s="97"/>
    </row>
    <row r="37" spans="1:34" s="18" customFormat="1" ht="18.75">
      <c r="A37" s="115" t="s">
        <v>24</v>
      </c>
      <c r="B37" s="122">
        <f>B14+B18+B22</f>
        <v>1574.4</v>
      </c>
      <c r="C37" s="122">
        <f>C14+C18+C22</f>
        <v>418.092</v>
      </c>
      <c r="D37" s="122">
        <f>D14+D18+D22</f>
        <v>418.092</v>
      </c>
      <c r="E37" s="122">
        <f>E14+E18+E22</f>
        <v>304.76406000000003</v>
      </c>
      <c r="F37" s="127">
        <f>E37/B37</f>
        <v>0.19357473323170732</v>
      </c>
      <c r="G37" s="127">
        <f>E37/C37</f>
        <v>0.7289401854137368</v>
      </c>
      <c r="H37" s="122">
        <f aca="true" t="shared" si="14" ref="H37:AE37">H14+H18+H22</f>
        <v>0</v>
      </c>
      <c r="I37" s="122">
        <f t="shared" si="14"/>
        <v>0</v>
      </c>
      <c r="J37" s="122">
        <f t="shared" si="14"/>
        <v>109.47</v>
      </c>
      <c r="K37" s="122">
        <f t="shared" si="14"/>
        <v>51.27406</v>
      </c>
      <c r="L37" s="122">
        <f t="shared" si="14"/>
        <v>109.47</v>
      </c>
      <c r="M37" s="122">
        <f t="shared" si="14"/>
        <v>136.53</v>
      </c>
      <c r="N37" s="122">
        <f t="shared" si="14"/>
        <v>52.7</v>
      </c>
      <c r="O37" s="122">
        <f t="shared" si="14"/>
        <v>39.06</v>
      </c>
      <c r="P37" s="122">
        <f t="shared" si="14"/>
        <v>146.452</v>
      </c>
      <c r="Q37" s="122">
        <f t="shared" si="14"/>
        <v>77.9</v>
      </c>
      <c r="R37" s="122">
        <f t="shared" si="14"/>
        <v>347.05203</v>
      </c>
      <c r="S37" s="122">
        <f t="shared" si="14"/>
        <v>0</v>
      </c>
      <c r="T37" s="122">
        <f t="shared" si="14"/>
        <v>280</v>
      </c>
      <c r="U37" s="122">
        <f>U14+U18+U22</f>
        <v>0</v>
      </c>
      <c r="V37" s="122">
        <f t="shared" si="14"/>
        <v>311.05</v>
      </c>
      <c r="W37" s="122">
        <f t="shared" si="14"/>
        <v>0</v>
      </c>
      <c r="X37" s="122">
        <f t="shared" si="14"/>
        <v>110.21</v>
      </c>
      <c r="Y37" s="122">
        <f t="shared" si="14"/>
        <v>0</v>
      </c>
      <c r="Z37" s="122">
        <f t="shared" si="14"/>
        <v>45.05</v>
      </c>
      <c r="AA37" s="122">
        <f t="shared" si="14"/>
        <v>0</v>
      </c>
      <c r="AB37" s="122">
        <f t="shared" si="14"/>
        <v>62.94597</v>
      </c>
      <c r="AC37" s="122">
        <f t="shared" si="14"/>
        <v>0</v>
      </c>
      <c r="AD37" s="122">
        <f t="shared" si="14"/>
        <v>0</v>
      </c>
      <c r="AE37" s="122">
        <f t="shared" si="14"/>
        <v>0</v>
      </c>
      <c r="AF37" s="114"/>
      <c r="AH37" s="97"/>
    </row>
    <row r="38" spans="1:34" s="18" customFormat="1" ht="18.75">
      <c r="A38" s="115" t="s">
        <v>25</v>
      </c>
      <c r="B38" s="122">
        <f>B15+B19+B23+B26+B29+B32+B35</f>
        <v>8644.3</v>
      </c>
      <c r="C38" s="122">
        <f>C15+C19+C23+C26+C29+C32+C35</f>
        <v>1145.252</v>
      </c>
      <c r="D38" s="122">
        <f>D15+D19+D23+D26+D29+D32+D35</f>
        <v>1145.2520000000002</v>
      </c>
      <c r="E38" s="122">
        <f>E15+E19+E23+E26+E29+E32+E35</f>
        <v>1027.71455</v>
      </c>
      <c r="F38" s="127">
        <f>E38/B38</f>
        <v>0.1188892738567611</v>
      </c>
      <c r="G38" s="127">
        <f>E38/C38</f>
        <v>0.8973697928490847</v>
      </c>
      <c r="H38" s="122">
        <f aca="true" t="shared" si="15" ref="H38:AE38">H15+H19+H23+H26+H29+H32+H35</f>
        <v>0</v>
      </c>
      <c r="I38" s="122">
        <f t="shared" si="15"/>
        <v>0</v>
      </c>
      <c r="J38" s="122">
        <f t="shared" si="15"/>
        <v>214.58299999999997</v>
      </c>
      <c r="K38" s="122">
        <f t="shared" si="15"/>
        <v>58.594550000000005</v>
      </c>
      <c r="L38" s="122">
        <f t="shared" si="15"/>
        <v>130.023</v>
      </c>
      <c r="M38" s="122">
        <f t="shared" si="15"/>
        <v>252.17999999999998</v>
      </c>
      <c r="N38" s="122">
        <f>N15+N19+N23+N26+N29+N32+N35</f>
        <v>457.304</v>
      </c>
      <c r="O38" s="122">
        <f t="shared" si="15"/>
        <v>453.34</v>
      </c>
      <c r="P38" s="122">
        <f t="shared" si="15"/>
        <v>343.342</v>
      </c>
      <c r="Q38" s="122">
        <f t="shared" si="15"/>
        <v>263.6</v>
      </c>
      <c r="R38" s="122">
        <f t="shared" si="15"/>
        <v>2370.64</v>
      </c>
      <c r="S38" s="122">
        <f t="shared" si="15"/>
        <v>0</v>
      </c>
      <c r="T38" s="122">
        <f t="shared" si="15"/>
        <v>2361.27</v>
      </c>
      <c r="U38" s="122">
        <f t="shared" si="15"/>
        <v>0</v>
      </c>
      <c r="V38" s="122">
        <f t="shared" si="15"/>
        <v>2370.6099999999997</v>
      </c>
      <c r="W38" s="122">
        <f t="shared" si="15"/>
        <v>0</v>
      </c>
      <c r="X38" s="122">
        <f t="shared" si="15"/>
        <v>141.68200000000002</v>
      </c>
      <c r="Y38" s="122">
        <f t="shared" si="15"/>
        <v>0</v>
      </c>
      <c r="Z38" s="122">
        <f t="shared" si="15"/>
        <v>104.202</v>
      </c>
      <c r="AA38" s="122">
        <f t="shared" si="15"/>
        <v>0</v>
      </c>
      <c r="AB38" s="122">
        <f t="shared" si="15"/>
        <v>150.644</v>
      </c>
      <c r="AC38" s="122">
        <f t="shared" si="15"/>
        <v>0</v>
      </c>
      <c r="AD38" s="122">
        <f t="shared" si="15"/>
        <v>0</v>
      </c>
      <c r="AE38" s="122">
        <f t="shared" si="15"/>
        <v>0</v>
      </c>
      <c r="AF38" s="114"/>
      <c r="AH38" s="97"/>
    </row>
    <row r="39" spans="1:34" s="18" customFormat="1" ht="78" customHeight="1">
      <c r="A39" s="45" t="s">
        <v>162</v>
      </c>
      <c r="B39" s="118"/>
      <c r="C39" s="120"/>
      <c r="D39" s="120"/>
      <c r="E39" s="120"/>
      <c r="F39" s="125"/>
      <c r="G39" s="125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92" t="s">
        <v>191</v>
      </c>
      <c r="AH39" s="97"/>
    </row>
    <row r="40" spans="1:34" s="18" customFormat="1" ht="18.75">
      <c r="A40" s="108" t="s">
        <v>32</v>
      </c>
      <c r="B40" s="116">
        <f aca="true" t="shared" si="16" ref="B40:AE40">B41</f>
        <v>8524.3</v>
      </c>
      <c r="C40" s="116">
        <f t="shared" si="16"/>
        <v>2603.2462</v>
      </c>
      <c r="D40" s="116">
        <f>D41</f>
        <v>8524.3</v>
      </c>
      <c r="E40" s="116">
        <f t="shared" si="16"/>
        <v>1948.0099999999998</v>
      </c>
      <c r="F40" s="123">
        <f>E40/B40</f>
        <v>0.22852433630913974</v>
      </c>
      <c r="G40" s="123">
        <f>E40/C40</f>
        <v>0.7483003336372871</v>
      </c>
      <c r="H40" s="117">
        <f t="shared" si="16"/>
        <v>0</v>
      </c>
      <c r="I40" s="117">
        <f t="shared" si="16"/>
        <v>0</v>
      </c>
      <c r="J40" s="117">
        <f t="shared" si="16"/>
        <v>203.24620000000002</v>
      </c>
      <c r="K40" s="117">
        <f t="shared" si="16"/>
        <v>155.3</v>
      </c>
      <c r="L40" s="117">
        <f t="shared" si="16"/>
        <v>800</v>
      </c>
      <c r="M40" s="117">
        <f t="shared" si="16"/>
        <v>531.25</v>
      </c>
      <c r="N40" s="117">
        <f t="shared" si="16"/>
        <v>800</v>
      </c>
      <c r="O40" s="117">
        <f t="shared" si="16"/>
        <v>625.86</v>
      </c>
      <c r="P40" s="117">
        <f t="shared" si="16"/>
        <v>800</v>
      </c>
      <c r="Q40" s="117">
        <f t="shared" si="16"/>
        <v>635.6</v>
      </c>
      <c r="R40" s="117">
        <f t="shared" si="16"/>
        <v>1000</v>
      </c>
      <c r="S40" s="117">
        <f t="shared" si="16"/>
        <v>0</v>
      </c>
      <c r="T40" s="117">
        <f t="shared" si="16"/>
        <v>800</v>
      </c>
      <c r="U40" s="117">
        <f t="shared" si="16"/>
        <v>0</v>
      </c>
      <c r="V40" s="117">
        <f t="shared" si="16"/>
        <v>800</v>
      </c>
      <c r="W40" s="117">
        <f t="shared" si="16"/>
        <v>0</v>
      </c>
      <c r="X40" s="117">
        <f t="shared" si="16"/>
        <v>700</v>
      </c>
      <c r="Y40" s="117">
        <f t="shared" si="16"/>
        <v>0</v>
      </c>
      <c r="Z40" s="117">
        <f t="shared" si="16"/>
        <v>900</v>
      </c>
      <c r="AA40" s="117">
        <f t="shared" si="16"/>
        <v>0</v>
      </c>
      <c r="AB40" s="117">
        <f t="shared" si="16"/>
        <v>900</v>
      </c>
      <c r="AC40" s="117">
        <f t="shared" si="16"/>
        <v>0</v>
      </c>
      <c r="AD40" s="117">
        <f t="shared" si="16"/>
        <v>821.0538</v>
      </c>
      <c r="AE40" s="117">
        <f t="shared" si="16"/>
        <v>0</v>
      </c>
      <c r="AF40" s="193"/>
      <c r="AH40" s="97"/>
    </row>
    <row r="41" spans="1:34" s="143" customFormat="1" ht="137.25" customHeight="1">
      <c r="A41" s="167" t="s">
        <v>25</v>
      </c>
      <c r="B41" s="133">
        <f>H41+J41+L41+N41+P41+R41+T41+V41+X41+Z41+AB41+AD41</f>
        <v>8524.3</v>
      </c>
      <c r="C41" s="134">
        <f>H41+J41+L41+N41+P41</f>
        <v>2603.2462</v>
      </c>
      <c r="D41" s="134">
        <v>8524.3</v>
      </c>
      <c r="E41" s="134">
        <f>I41+K41+M41+O41+Q41+S41+U41+W41+Y41+AA41+AC41+AE41</f>
        <v>1948.0099999999998</v>
      </c>
      <c r="F41" s="181">
        <f>E41/B41</f>
        <v>0.22852433630913974</v>
      </c>
      <c r="G41" s="181">
        <f>E41/C41</f>
        <v>0.7483003336372871</v>
      </c>
      <c r="H41" s="134">
        <v>0</v>
      </c>
      <c r="I41" s="134">
        <v>0</v>
      </c>
      <c r="J41" s="134">
        <f>203246.2/1000</f>
        <v>203.24620000000002</v>
      </c>
      <c r="K41" s="134">
        <v>155.3</v>
      </c>
      <c r="L41" s="134">
        <f>800000/1000</f>
        <v>800</v>
      </c>
      <c r="M41" s="134">
        <v>531.25</v>
      </c>
      <c r="N41" s="134">
        <f>800000/1000</f>
        <v>800</v>
      </c>
      <c r="O41" s="134">
        <v>625.86</v>
      </c>
      <c r="P41" s="134">
        <f>800000/1000</f>
        <v>800</v>
      </c>
      <c r="Q41" s="134">
        <v>635.6</v>
      </c>
      <c r="R41" s="134">
        <f>1000000/1000</f>
        <v>1000</v>
      </c>
      <c r="S41" s="134">
        <v>0</v>
      </c>
      <c r="T41" s="134">
        <f>800000/1000</f>
        <v>800</v>
      </c>
      <c r="U41" s="134"/>
      <c r="V41" s="134">
        <f>800000/1000</f>
        <v>800</v>
      </c>
      <c r="W41" s="134"/>
      <c r="X41" s="134">
        <f>700000/1000</f>
        <v>700</v>
      </c>
      <c r="Y41" s="134"/>
      <c r="Z41" s="134">
        <f>900000/1000</f>
        <v>900</v>
      </c>
      <c r="AA41" s="134"/>
      <c r="AB41" s="134">
        <f>900000/1000</f>
        <v>900</v>
      </c>
      <c r="AC41" s="134"/>
      <c r="AD41" s="134">
        <f>821053.8/1000</f>
        <v>821.0538</v>
      </c>
      <c r="AE41" s="134"/>
      <c r="AF41" s="194"/>
      <c r="AH41" s="144"/>
    </row>
    <row r="42" spans="1:34" s="18" customFormat="1" ht="70.5" customHeight="1">
      <c r="A42" s="45" t="s">
        <v>172</v>
      </c>
      <c r="B42" s="118"/>
      <c r="C42" s="120"/>
      <c r="D42" s="120"/>
      <c r="E42" s="120"/>
      <c r="F42" s="125"/>
      <c r="G42" s="125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48"/>
      <c r="AH42" s="97"/>
    </row>
    <row r="43" spans="1:34" s="18" customFormat="1" ht="18.75">
      <c r="A43" s="108" t="s">
        <v>32</v>
      </c>
      <c r="B43" s="116">
        <f>B44</f>
        <v>0</v>
      </c>
      <c r="C43" s="116">
        <f>C44</f>
        <v>0</v>
      </c>
      <c r="D43" s="116">
        <f>D44</f>
        <v>0</v>
      </c>
      <c r="E43" s="116">
        <f>E44</f>
        <v>0</v>
      </c>
      <c r="F43" s="123">
        <v>0</v>
      </c>
      <c r="G43" s="123">
        <v>0</v>
      </c>
      <c r="H43" s="116">
        <f aca="true" t="shared" si="17" ref="H43:AE43">H44</f>
        <v>0</v>
      </c>
      <c r="I43" s="116">
        <f t="shared" si="17"/>
        <v>0</v>
      </c>
      <c r="J43" s="116">
        <f t="shared" si="17"/>
        <v>0</v>
      </c>
      <c r="K43" s="116">
        <f t="shared" si="17"/>
        <v>0</v>
      </c>
      <c r="L43" s="116">
        <f t="shared" si="17"/>
        <v>0</v>
      </c>
      <c r="M43" s="116">
        <f t="shared" si="17"/>
        <v>0</v>
      </c>
      <c r="N43" s="116">
        <f t="shared" si="17"/>
        <v>0</v>
      </c>
      <c r="O43" s="116">
        <f t="shared" si="17"/>
        <v>0</v>
      </c>
      <c r="P43" s="116">
        <f t="shared" si="17"/>
        <v>0</v>
      </c>
      <c r="Q43" s="116">
        <f t="shared" si="17"/>
        <v>0</v>
      </c>
      <c r="R43" s="116">
        <f t="shared" si="17"/>
        <v>0</v>
      </c>
      <c r="S43" s="116">
        <f t="shared" si="17"/>
        <v>0</v>
      </c>
      <c r="T43" s="116">
        <f t="shared" si="17"/>
        <v>0</v>
      </c>
      <c r="U43" s="116">
        <f t="shared" si="17"/>
        <v>0</v>
      </c>
      <c r="V43" s="116">
        <f t="shared" si="17"/>
        <v>0</v>
      </c>
      <c r="W43" s="116">
        <f t="shared" si="17"/>
        <v>0</v>
      </c>
      <c r="X43" s="116">
        <f t="shared" si="17"/>
        <v>0</v>
      </c>
      <c r="Y43" s="116">
        <f t="shared" si="17"/>
        <v>0</v>
      </c>
      <c r="Z43" s="116">
        <f t="shared" si="17"/>
        <v>0</v>
      </c>
      <c r="AA43" s="116">
        <f t="shared" si="17"/>
        <v>0</v>
      </c>
      <c r="AB43" s="116">
        <f t="shared" si="17"/>
        <v>0</v>
      </c>
      <c r="AC43" s="116">
        <f t="shared" si="17"/>
        <v>0</v>
      </c>
      <c r="AD43" s="116">
        <f t="shared" si="17"/>
        <v>0</v>
      </c>
      <c r="AE43" s="116">
        <f t="shared" si="17"/>
        <v>0</v>
      </c>
      <c r="AF43" s="110"/>
      <c r="AH43" s="97"/>
    </row>
    <row r="44" spans="1:34" s="136" customFormat="1" ht="18.75">
      <c r="A44" s="132" t="s">
        <v>150</v>
      </c>
      <c r="B44" s="133">
        <f>H44+J44+L44+N44+P44+R44+T44+V44+X44+Z44+AB44+AD44</f>
        <v>0</v>
      </c>
      <c r="C44" s="134">
        <f>H44</f>
        <v>0</v>
      </c>
      <c r="D44" s="134"/>
      <c r="E44" s="134">
        <f>I44+K44+M44+O44+Q44+S44+U44+W44+Y44+AA44+AC44+AE44</f>
        <v>0</v>
      </c>
      <c r="F44" s="135">
        <v>0</v>
      </c>
      <c r="G44" s="135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/>
      <c r="S44" s="134">
        <v>0</v>
      </c>
      <c r="T44" s="134">
        <v>0</v>
      </c>
      <c r="U44" s="134"/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45"/>
      <c r="AH44" s="137"/>
    </row>
    <row r="45" spans="1:34" s="18" customFormat="1" ht="93.75">
      <c r="A45" s="45" t="s">
        <v>163</v>
      </c>
      <c r="B45" s="118"/>
      <c r="C45" s="120"/>
      <c r="D45" s="120"/>
      <c r="E45" s="120"/>
      <c r="F45" s="125"/>
      <c r="G45" s="125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12"/>
      <c r="AH45" s="97"/>
    </row>
    <row r="46" spans="1:34" s="18" customFormat="1" ht="18.75">
      <c r="A46" s="108" t="s">
        <v>32</v>
      </c>
      <c r="B46" s="116">
        <f>B47</f>
        <v>0</v>
      </c>
      <c r="C46" s="116">
        <f>C47</f>
        <v>0</v>
      </c>
      <c r="D46" s="116">
        <f>D47</f>
        <v>0</v>
      </c>
      <c r="E46" s="116">
        <f aca="true" t="shared" si="18" ref="E46:AE46">E47</f>
        <v>0</v>
      </c>
      <c r="F46" s="123">
        <f t="shared" si="18"/>
        <v>0</v>
      </c>
      <c r="G46" s="123">
        <v>0</v>
      </c>
      <c r="H46" s="116">
        <f t="shared" si="18"/>
        <v>0</v>
      </c>
      <c r="I46" s="116">
        <f t="shared" si="18"/>
        <v>0</v>
      </c>
      <c r="J46" s="116">
        <f t="shared" si="18"/>
        <v>0</v>
      </c>
      <c r="K46" s="116">
        <f t="shared" si="18"/>
        <v>0</v>
      </c>
      <c r="L46" s="116">
        <f t="shared" si="18"/>
        <v>0</v>
      </c>
      <c r="M46" s="116">
        <f t="shared" si="18"/>
        <v>0</v>
      </c>
      <c r="N46" s="116">
        <f t="shared" si="18"/>
        <v>0</v>
      </c>
      <c r="O46" s="116">
        <f t="shared" si="18"/>
        <v>0</v>
      </c>
      <c r="P46" s="116">
        <f t="shared" si="18"/>
        <v>0</v>
      </c>
      <c r="Q46" s="116">
        <f t="shared" si="18"/>
        <v>0</v>
      </c>
      <c r="R46" s="116">
        <f t="shared" si="18"/>
        <v>0</v>
      </c>
      <c r="S46" s="116">
        <f t="shared" si="18"/>
        <v>0</v>
      </c>
      <c r="T46" s="116">
        <f t="shared" si="18"/>
        <v>0</v>
      </c>
      <c r="U46" s="116">
        <f t="shared" si="18"/>
        <v>0</v>
      </c>
      <c r="V46" s="116">
        <f t="shared" si="18"/>
        <v>0</v>
      </c>
      <c r="W46" s="116">
        <f t="shared" si="18"/>
        <v>0</v>
      </c>
      <c r="X46" s="116">
        <f t="shared" si="18"/>
        <v>0</v>
      </c>
      <c r="Y46" s="116">
        <f t="shared" si="18"/>
        <v>0</v>
      </c>
      <c r="Z46" s="116">
        <f t="shared" si="18"/>
        <v>0</v>
      </c>
      <c r="AA46" s="116">
        <f t="shared" si="18"/>
        <v>0</v>
      </c>
      <c r="AB46" s="116">
        <f t="shared" si="18"/>
        <v>0</v>
      </c>
      <c r="AC46" s="116">
        <f t="shared" si="18"/>
        <v>0</v>
      </c>
      <c r="AD46" s="116">
        <f t="shared" si="18"/>
        <v>0</v>
      </c>
      <c r="AE46" s="116">
        <f t="shared" si="18"/>
        <v>0</v>
      </c>
      <c r="AF46" s="110"/>
      <c r="AH46" s="97"/>
    </row>
    <row r="47" spans="1:34" s="136" customFormat="1" ht="18.75">
      <c r="A47" s="132" t="s">
        <v>24</v>
      </c>
      <c r="B47" s="133">
        <f>H47+J47+L47+N47+P47+R47+T47+V47+X47+Z47+AB47+AD47</f>
        <v>0</v>
      </c>
      <c r="C47" s="134">
        <f>H47</f>
        <v>0</v>
      </c>
      <c r="D47" s="134">
        <f>H47+J47+L47+N47+P47+R47+T47+V47</f>
        <v>0</v>
      </c>
      <c r="E47" s="134">
        <f>I47+K47+M47+O47+Q47+S47+U47+W47+Y47+AA47+AC47+AE47</f>
        <v>0</v>
      </c>
      <c r="F47" s="135">
        <v>0</v>
      </c>
      <c r="G47" s="135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45"/>
      <c r="AH47" s="137"/>
    </row>
    <row r="48" spans="1:34" s="18" customFormat="1" ht="57" customHeight="1">
      <c r="A48" s="168" t="s">
        <v>164</v>
      </c>
      <c r="B48" s="159">
        <f>B49+B55</f>
        <v>2997.4010000000003</v>
      </c>
      <c r="C48" s="159">
        <f>C49+C55</f>
        <v>1538.8056299999998</v>
      </c>
      <c r="D48" s="159">
        <f>D49+D55</f>
        <v>1397.2</v>
      </c>
      <c r="E48" s="159">
        <f>E49+E55</f>
        <v>1184.6363900000001</v>
      </c>
      <c r="F48" s="160">
        <f>E48/B48</f>
        <v>0.39522118995756655</v>
      </c>
      <c r="G48" s="160">
        <f>E48/C48</f>
        <v>0.7698414711414854</v>
      </c>
      <c r="H48" s="159">
        <f aca="true" t="shared" si="19" ref="H48:AE48">H49+H55</f>
        <v>562.959</v>
      </c>
      <c r="I48" s="159">
        <f t="shared" si="19"/>
        <v>425.15626000000003</v>
      </c>
      <c r="J48" s="159">
        <f t="shared" si="19"/>
        <v>233.692</v>
      </c>
      <c r="K48" s="159">
        <f t="shared" si="19"/>
        <v>182.91031</v>
      </c>
      <c r="L48" s="159">
        <f t="shared" si="19"/>
        <v>113.63105999999999</v>
      </c>
      <c r="M48" s="159">
        <f t="shared" si="19"/>
        <v>106.45214</v>
      </c>
      <c r="N48" s="159">
        <f t="shared" si="19"/>
        <v>275.87657</v>
      </c>
      <c r="O48" s="159">
        <f t="shared" si="19"/>
        <v>219.29763</v>
      </c>
      <c r="P48" s="159">
        <f t="shared" si="19"/>
        <v>352.647</v>
      </c>
      <c r="Q48" s="159">
        <f t="shared" si="19"/>
        <v>250.82004999999998</v>
      </c>
      <c r="R48" s="159">
        <f t="shared" si="19"/>
        <v>377.20390000000003</v>
      </c>
      <c r="S48" s="159">
        <f t="shared" si="19"/>
        <v>0</v>
      </c>
      <c r="T48" s="159">
        <f t="shared" si="19"/>
        <v>226.60623999999999</v>
      </c>
      <c r="U48" s="159">
        <f t="shared" si="19"/>
        <v>0</v>
      </c>
      <c r="V48" s="159">
        <f t="shared" si="19"/>
        <v>214.909</v>
      </c>
      <c r="W48" s="159">
        <f t="shared" si="19"/>
        <v>0</v>
      </c>
      <c r="X48" s="159">
        <f t="shared" si="19"/>
        <v>75.13</v>
      </c>
      <c r="Y48" s="159">
        <f t="shared" si="19"/>
        <v>0</v>
      </c>
      <c r="Z48" s="159">
        <f t="shared" si="19"/>
        <v>190.98757</v>
      </c>
      <c r="AA48" s="159">
        <f t="shared" si="19"/>
        <v>0</v>
      </c>
      <c r="AB48" s="159">
        <f t="shared" si="19"/>
        <v>98.17447</v>
      </c>
      <c r="AC48" s="159">
        <f t="shared" si="19"/>
        <v>0</v>
      </c>
      <c r="AD48" s="159">
        <f t="shared" si="19"/>
        <v>275.58419</v>
      </c>
      <c r="AE48" s="159">
        <f t="shared" si="19"/>
        <v>0</v>
      </c>
      <c r="AF48" s="170"/>
      <c r="AH48" s="97"/>
    </row>
    <row r="49" spans="1:34" s="18" customFormat="1" ht="75.75" customHeight="1">
      <c r="A49" s="156" t="s">
        <v>165</v>
      </c>
      <c r="B49" s="157">
        <f>B50</f>
        <v>2984.601</v>
      </c>
      <c r="C49" s="157">
        <f aca="true" t="shared" si="20" ref="C49:AE50">C50</f>
        <v>1526.0056299999999</v>
      </c>
      <c r="D49" s="157">
        <f>D50</f>
        <v>1397.2</v>
      </c>
      <c r="E49" s="157">
        <f t="shared" si="20"/>
        <v>1184.6363900000001</v>
      </c>
      <c r="F49" s="171">
        <f t="shared" si="20"/>
        <v>0.3969161673536932</v>
      </c>
      <c r="G49" s="171">
        <f t="shared" si="20"/>
        <v>0.776298833183204</v>
      </c>
      <c r="H49" s="157">
        <f t="shared" si="20"/>
        <v>562.959</v>
      </c>
      <c r="I49" s="157">
        <f t="shared" si="20"/>
        <v>425.15626000000003</v>
      </c>
      <c r="J49" s="157">
        <f t="shared" si="20"/>
        <v>233.692</v>
      </c>
      <c r="K49" s="157">
        <f t="shared" si="20"/>
        <v>182.91031</v>
      </c>
      <c r="L49" s="157">
        <f t="shared" si="20"/>
        <v>113.63105999999999</v>
      </c>
      <c r="M49" s="157">
        <f t="shared" si="20"/>
        <v>106.45214</v>
      </c>
      <c r="N49" s="157">
        <f t="shared" si="20"/>
        <v>275.87657</v>
      </c>
      <c r="O49" s="157">
        <f t="shared" si="20"/>
        <v>219.29763</v>
      </c>
      <c r="P49" s="157">
        <f t="shared" si="20"/>
        <v>339.847</v>
      </c>
      <c r="Q49" s="157">
        <f t="shared" si="20"/>
        <v>250.82004999999998</v>
      </c>
      <c r="R49" s="157">
        <f t="shared" si="20"/>
        <v>377.20390000000003</v>
      </c>
      <c r="S49" s="157">
        <f t="shared" si="20"/>
        <v>0</v>
      </c>
      <c r="T49" s="157">
        <f t="shared" si="20"/>
        <v>226.60623999999999</v>
      </c>
      <c r="U49" s="157">
        <f t="shared" si="20"/>
        <v>0</v>
      </c>
      <c r="V49" s="157">
        <f t="shared" si="20"/>
        <v>214.909</v>
      </c>
      <c r="W49" s="157">
        <f t="shared" si="20"/>
        <v>0</v>
      </c>
      <c r="X49" s="157">
        <f t="shared" si="20"/>
        <v>75.13</v>
      </c>
      <c r="Y49" s="157">
        <f t="shared" si="20"/>
        <v>0</v>
      </c>
      <c r="Z49" s="157">
        <f t="shared" si="20"/>
        <v>190.98757</v>
      </c>
      <c r="AA49" s="157">
        <f t="shared" si="20"/>
        <v>0</v>
      </c>
      <c r="AB49" s="157">
        <f t="shared" si="20"/>
        <v>98.17447</v>
      </c>
      <c r="AC49" s="157">
        <f t="shared" si="20"/>
        <v>0</v>
      </c>
      <c r="AD49" s="157">
        <f t="shared" si="20"/>
        <v>275.58419</v>
      </c>
      <c r="AE49" s="157">
        <f t="shared" si="20"/>
        <v>0</v>
      </c>
      <c r="AF49" s="158"/>
      <c r="AH49" s="97"/>
    </row>
    <row r="50" spans="1:34" s="18" customFormat="1" ht="24" customHeight="1">
      <c r="A50" s="155" t="s">
        <v>32</v>
      </c>
      <c r="B50" s="157">
        <f>B51</f>
        <v>2984.601</v>
      </c>
      <c r="C50" s="157">
        <f t="shared" si="20"/>
        <v>1526.0056299999999</v>
      </c>
      <c r="D50" s="157">
        <f>D51</f>
        <v>1397.2</v>
      </c>
      <c r="E50" s="157">
        <f t="shared" si="20"/>
        <v>1184.6363900000001</v>
      </c>
      <c r="F50" s="171">
        <f t="shared" si="20"/>
        <v>0.3969161673536932</v>
      </c>
      <c r="G50" s="171">
        <f t="shared" si="20"/>
        <v>0.776298833183204</v>
      </c>
      <c r="H50" s="157">
        <f t="shared" si="20"/>
        <v>562.959</v>
      </c>
      <c r="I50" s="157">
        <f t="shared" si="20"/>
        <v>425.15626000000003</v>
      </c>
      <c r="J50" s="157">
        <f t="shared" si="20"/>
        <v>233.692</v>
      </c>
      <c r="K50" s="157">
        <f t="shared" si="20"/>
        <v>182.91031</v>
      </c>
      <c r="L50" s="157">
        <f t="shared" si="20"/>
        <v>113.63105999999999</v>
      </c>
      <c r="M50" s="157">
        <f t="shared" si="20"/>
        <v>106.45214</v>
      </c>
      <c r="N50" s="157">
        <f t="shared" si="20"/>
        <v>275.87657</v>
      </c>
      <c r="O50" s="157">
        <f t="shared" si="20"/>
        <v>219.29763</v>
      </c>
      <c r="P50" s="157">
        <f t="shared" si="20"/>
        <v>339.847</v>
      </c>
      <c r="Q50" s="157">
        <f t="shared" si="20"/>
        <v>250.82004999999998</v>
      </c>
      <c r="R50" s="157">
        <f t="shared" si="20"/>
        <v>377.20390000000003</v>
      </c>
      <c r="S50" s="157">
        <f t="shared" si="20"/>
        <v>0</v>
      </c>
      <c r="T50" s="157">
        <f t="shared" si="20"/>
        <v>226.60623999999999</v>
      </c>
      <c r="U50" s="157">
        <f t="shared" si="20"/>
        <v>0</v>
      </c>
      <c r="V50" s="157">
        <f t="shared" si="20"/>
        <v>214.909</v>
      </c>
      <c r="W50" s="157">
        <f t="shared" si="20"/>
        <v>0</v>
      </c>
      <c r="X50" s="157">
        <f t="shared" si="20"/>
        <v>75.13</v>
      </c>
      <c r="Y50" s="157">
        <f t="shared" si="20"/>
        <v>0</v>
      </c>
      <c r="Z50" s="157">
        <f t="shared" si="20"/>
        <v>190.98757</v>
      </c>
      <c r="AA50" s="157">
        <f t="shared" si="20"/>
        <v>0</v>
      </c>
      <c r="AB50" s="157">
        <f t="shared" si="20"/>
        <v>98.17447</v>
      </c>
      <c r="AC50" s="157">
        <f t="shared" si="20"/>
        <v>0</v>
      </c>
      <c r="AD50" s="157">
        <f t="shared" si="20"/>
        <v>275.58419</v>
      </c>
      <c r="AE50" s="157">
        <f t="shared" si="20"/>
        <v>0</v>
      </c>
      <c r="AF50" s="158"/>
      <c r="AH50" s="97"/>
    </row>
    <row r="51" spans="1:34" s="18" customFormat="1" ht="25.5" customHeight="1">
      <c r="A51" s="155" t="s">
        <v>24</v>
      </c>
      <c r="B51" s="157">
        <f>B53</f>
        <v>2984.601</v>
      </c>
      <c r="C51" s="157">
        <f aca="true" t="shared" si="21" ref="C51:AE51">C53</f>
        <v>1526.0056299999999</v>
      </c>
      <c r="D51" s="157">
        <f>D53</f>
        <v>1397.2</v>
      </c>
      <c r="E51" s="157">
        <f t="shared" si="21"/>
        <v>1184.6363900000001</v>
      </c>
      <c r="F51" s="171">
        <f t="shared" si="21"/>
        <v>0.3969161673536932</v>
      </c>
      <c r="G51" s="171">
        <f t="shared" si="21"/>
        <v>0.776298833183204</v>
      </c>
      <c r="H51" s="157">
        <f t="shared" si="21"/>
        <v>562.959</v>
      </c>
      <c r="I51" s="157">
        <f t="shared" si="21"/>
        <v>425.15626000000003</v>
      </c>
      <c r="J51" s="157">
        <f t="shared" si="21"/>
        <v>233.692</v>
      </c>
      <c r="K51" s="157">
        <f t="shared" si="21"/>
        <v>182.91031</v>
      </c>
      <c r="L51" s="157">
        <f t="shared" si="21"/>
        <v>113.63105999999999</v>
      </c>
      <c r="M51" s="157">
        <f t="shared" si="21"/>
        <v>106.45214</v>
      </c>
      <c r="N51" s="157">
        <f t="shared" si="21"/>
        <v>275.87657</v>
      </c>
      <c r="O51" s="157">
        <f t="shared" si="21"/>
        <v>219.29763</v>
      </c>
      <c r="P51" s="157">
        <f t="shared" si="21"/>
        <v>339.847</v>
      </c>
      <c r="Q51" s="157">
        <f t="shared" si="21"/>
        <v>250.82004999999998</v>
      </c>
      <c r="R51" s="157">
        <f t="shared" si="21"/>
        <v>377.20390000000003</v>
      </c>
      <c r="S51" s="157">
        <f t="shared" si="21"/>
        <v>0</v>
      </c>
      <c r="T51" s="157">
        <f t="shared" si="21"/>
        <v>226.60623999999999</v>
      </c>
      <c r="U51" s="157">
        <f t="shared" si="21"/>
        <v>0</v>
      </c>
      <c r="V51" s="157">
        <f t="shared" si="21"/>
        <v>214.909</v>
      </c>
      <c r="W51" s="157">
        <f t="shared" si="21"/>
        <v>0</v>
      </c>
      <c r="X51" s="157">
        <f t="shared" si="21"/>
        <v>75.13</v>
      </c>
      <c r="Y51" s="157">
        <f t="shared" si="21"/>
        <v>0</v>
      </c>
      <c r="Z51" s="157">
        <f t="shared" si="21"/>
        <v>190.98757</v>
      </c>
      <c r="AA51" s="157">
        <f t="shared" si="21"/>
        <v>0</v>
      </c>
      <c r="AB51" s="157">
        <f t="shared" si="21"/>
        <v>98.17447</v>
      </c>
      <c r="AC51" s="157">
        <f t="shared" si="21"/>
        <v>0</v>
      </c>
      <c r="AD51" s="157">
        <f t="shared" si="21"/>
        <v>275.58419</v>
      </c>
      <c r="AE51" s="157">
        <f t="shared" si="21"/>
        <v>0</v>
      </c>
      <c r="AF51" s="158"/>
      <c r="AH51" s="97"/>
    </row>
    <row r="52" spans="1:34" s="18" customFormat="1" ht="164.25" customHeight="1">
      <c r="A52" s="104" t="s">
        <v>173</v>
      </c>
      <c r="B52" s="118"/>
      <c r="C52" s="120"/>
      <c r="D52" s="120"/>
      <c r="E52" s="120"/>
      <c r="F52" s="125"/>
      <c r="G52" s="125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12" t="s">
        <v>192</v>
      </c>
      <c r="AH52" s="97"/>
    </row>
    <row r="53" spans="1:34" s="18" customFormat="1" ht="18.75">
      <c r="A53" s="108" t="s">
        <v>32</v>
      </c>
      <c r="B53" s="116">
        <f>B54</f>
        <v>2984.601</v>
      </c>
      <c r="C53" s="116">
        <f>C54</f>
        <v>1526.0056299999999</v>
      </c>
      <c r="D53" s="116">
        <f>D54</f>
        <v>1397.2</v>
      </c>
      <c r="E53" s="116">
        <f>E54</f>
        <v>1184.6363900000001</v>
      </c>
      <c r="F53" s="123">
        <f>E53/B53</f>
        <v>0.3969161673536932</v>
      </c>
      <c r="G53" s="123">
        <f>E53/C53</f>
        <v>0.776298833183204</v>
      </c>
      <c r="H53" s="116">
        <f aca="true" t="shared" si="22" ref="H53:AE53">H54</f>
        <v>562.959</v>
      </c>
      <c r="I53" s="116">
        <f t="shared" si="22"/>
        <v>425.15626000000003</v>
      </c>
      <c r="J53" s="116">
        <f t="shared" si="22"/>
        <v>233.692</v>
      </c>
      <c r="K53" s="116">
        <f t="shared" si="22"/>
        <v>182.91031</v>
      </c>
      <c r="L53" s="116">
        <f t="shared" si="22"/>
        <v>113.63105999999999</v>
      </c>
      <c r="M53" s="116">
        <f t="shared" si="22"/>
        <v>106.45214</v>
      </c>
      <c r="N53" s="116">
        <f t="shared" si="22"/>
        <v>275.87657</v>
      </c>
      <c r="O53" s="116">
        <f t="shared" si="22"/>
        <v>219.29763</v>
      </c>
      <c r="P53" s="116">
        <f t="shared" si="22"/>
        <v>339.847</v>
      </c>
      <c r="Q53" s="116">
        <f t="shared" si="22"/>
        <v>250.82004999999998</v>
      </c>
      <c r="R53" s="116">
        <f t="shared" si="22"/>
        <v>377.20390000000003</v>
      </c>
      <c r="S53" s="116">
        <f t="shared" si="22"/>
        <v>0</v>
      </c>
      <c r="T53" s="116">
        <f t="shared" si="22"/>
        <v>226.60623999999999</v>
      </c>
      <c r="U53" s="116">
        <f t="shared" si="22"/>
        <v>0</v>
      </c>
      <c r="V53" s="116">
        <f t="shared" si="22"/>
        <v>214.909</v>
      </c>
      <c r="W53" s="116">
        <f t="shared" si="22"/>
        <v>0</v>
      </c>
      <c r="X53" s="116">
        <f t="shared" si="22"/>
        <v>75.13</v>
      </c>
      <c r="Y53" s="116">
        <f t="shared" si="22"/>
        <v>0</v>
      </c>
      <c r="Z53" s="116">
        <f t="shared" si="22"/>
        <v>190.98757</v>
      </c>
      <c r="AA53" s="116">
        <f t="shared" si="22"/>
        <v>0</v>
      </c>
      <c r="AB53" s="116">
        <f t="shared" si="22"/>
        <v>98.17447</v>
      </c>
      <c r="AC53" s="116">
        <f t="shared" si="22"/>
        <v>0</v>
      </c>
      <c r="AD53" s="116">
        <f t="shared" si="22"/>
        <v>275.58419</v>
      </c>
      <c r="AE53" s="116">
        <f t="shared" si="22"/>
        <v>0</v>
      </c>
      <c r="AF53" s="110"/>
      <c r="AH53" s="97"/>
    </row>
    <row r="54" spans="1:34" s="136" customFormat="1" ht="18.75">
      <c r="A54" s="132" t="s">
        <v>24</v>
      </c>
      <c r="B54" s="133">
        <f>H54+J54+L54+N54+P54+R54+T54+V54+X54+Z54+AB54+AD54</f>
        <v>2984.601</v>
      </c>
      <c r="C54" s="134">
        <f>H54+J54+L54+N54+P54</f>
        <v>1526.0056299999999</v>
      </c>
      <c r="D54" s="133">
        <f>1397200/1000</f>
        <v>1397.2</v>
      </c>
      <c r="E54" s="134">
        <f>I54+K54+M54+O54+Q54+S54+U54+W54+Y54+AA54+AC54+AE54</f>
        <v>1184.6363900000001</v>
      </c>
      <c r="F54" s="135">
        <f>E54/B54</f>
        <v>0.3969161673536932</v>
      </c>
      <c r="G54" s="135">
        <f>E54/C54</f>
        <v>0.776298833183204</v>
      </c>
      <c r="H54" s="134">
        <f>562959/1000</f>
        <v>562.959</v>
      </c>
      <c r="I54" s="134">
        <f>425156.26/1000</f>
        <v>425.15626000000003</v>
      </c>
      <c r="J54" s="182">
        <f>(229607+4085)/1000</f>
        <v>233.692</v>
      </c>
      <c r="K54" s="134">
        <f>(178825.31+4085)/1000</f>
        <v>182.91031</v>
      </c>
      <c r="L54" s="182">
        <f>(109546.06+4085)/1000</f>
        <v>113.63105999999999</v>
      </c>
      <c r="M54" s="134">
        <f>(102367.14+4085)/1000</f>
        <v>106.45214</v>
      </c>
      <c r="N54" s="183">
        <f>(271791.57+4085)/1000</f>
        <v>275.87657</v>
      </c>
      <c r="O54" s="134">
        <f>(215212.63+4085)/1000</f>
        <v>219.29763</v>
      </c>
      <c r="P54" s="182">
        <f>(335762+4085)/1000</f>
        <v>339.847</v>
      </c>
      <c r="Q54" s="134">
        <f>(246735.05+4085)/1000</f>
        <v>250.82004999999998</v>
      </c>
      <c r="R54" s="134">
        <f>377203.9/1000</f>
        <v>377.20390000000003</v>
      </c>
      <c r="S54" s="134"/>
      <c r="T54" s="134">
        <f>226606.24/1000</f>
        <v>226.60623999999999</v>
      </c>
      <c r="U54" s="134"/>
      <c r="V54" s="182">
        <f>(211447+3462)/1000</f>
        <v>214.909</v>
      </c>
      <c r="W54" s="134"/>
      <c r="X54" s="134">
        <f>(71668+3462)/1000</f>
        <v>75.13</v>
      </c>
      <c r="Y54" s="134"/>
      <c r="Z54" s="182">
        <f>(186902.57+4085)/1000</f>
        <v>190.98757</v>
      </c>
      <c r="AA54" s="134"/>
      <c r="AB54" s="182">
        <f>(94089.47+4085)/1000</f>
        <v>98.17447</v>
      </c>
      <c r="AC54" s="134"/>
      <c r="AD54" s="182">
        <f>(271488.19+4096)/1000</f>
        <v>275.58419</v>
      </c>
      <c r="AE54" s="134"/>
      <c r="AF54" s="146"/>
      <c r="AH54" s="137"/>
    </row>
    <row r="55" spans="1:34" s="18" customFormat="1" ht="56.25">
      <c r="A55" s="150" t="s">
        <v>166</v>
      </c>
      <c r="B55" s="163">
        <f>B56</f>
        <v>12.8</v>
      </c>
      <c r="C55" s="163">
        <f aca="true" t="shared" si="23" ref="C55:AE56">C56</f>
        <v>12.8</v>
      </c>
      <c r="D55" s="163">
        <f t="shared" si="23"/>
        <v>0</v>
      </c>
      <c r="E55" s="163">
        <f t="shared" si="23"/>
        <v>0</v>
      </c>
      <c r="F55" s="172">
        <v>0</v>
      </c>
      <c r="G55" s="172">
        <v>0</v>
      </c>
      <c r="H55" s="163">
        <f t="shared" si="23"/>
        <v>0</v>
      </c>
      <c r="I55" s="163">
        <f t="shared" si="23"/>
        <v>0</v>
      </c>
      <c r="J55" s="163">
        <f t="shared" si="23"/>
        <v>0</v>
      </c>
      <c r="K55" s="163">
        <f t="shared" si="23"/>
        <v>0</v>
      </c>
      <c r="L55" s="163">
        <f t="shared" si="23"/>
        <v>0</v>
      </c>
      <c r="M55" s="163">
        <f t="shared" si="23"/>
        <v>0</v>
      </c>
      <c r="N55" s="163">
        <f t="shared" si="23"/>
        <v>0</v>
      </c>
      <c r="O55" s="163">
        <f t="shared" si="23"/>
        <v>0</v>
      </c>
      <c r="P55" s="163">
        <f t="shared" si="23"/>
        <v>12.8</v>
      </c>
      <c r="Q55" s="163">
        <f t="shared" si="23"/>
        <v>0</v>
      </c>
      <c r="R55" s="163">
        <f t="shared" si="23"/>
        <v>0</v>
      </c>
      <c r="S55" s="163">
        <f t="shared" si="23"/>
        <v>0</v>
      </c>
      <c r="T55" s="163">
        <f t="shared" si="23"/>
        <v>0</v>
      </c>
      <c r="U55" s="163">
        <f t="shared" si="23"/>
        <v>0</v>
      </c>
      <c r="V55" s="163">
        <f t="shared" si="23"/>
        <v>0</v>
      </c>
      <c r="W55" s="163">
        <f t="shared" si="23"/>
        <v>0</v>
      </c>
      <c r="X55" s="163">
        <f t="shared" si="23"/>
        <v>0</v>
      </c>
      <c r="Y55" s="163">
        <f t="shared" si="23"/>
        <v>0</v>
      </c>
      <c r="Z55" s="163">
        <f t="shared" si="23"/>
        <v>0</v>
      </c>
      <c r="AA55" s="163">
        <f t="shared" si="23"/>
        <v>0</v>
      </c>
      <c r="AB55" s="163">
        <f t="shared" si="23"/>
        <v>0</v>
      </c>
      <c r="AC55" s="163">
        <f t="shared" si="23"/>
        <v>0</v>
      </c>
      <c r="AD55" s="163">
        <f t="shared" si="23"/>
        <v>0</v>
      </c>
      <c r="AE55" s="163">
        <f t="shared" si="23"/>
        <v>0</v>
      </c>
      <c r="AF55" s="164"/>
      <c r="AH55" s="97"/>
    </row>
    <row r="56" spans="1:34" s="18" customFormat="1" ht="18.75">
      <c r="A56" s="155" t="s">
        <v>32</v>
      </c>
      <c r="B56" s="163">
        <f>B57</f>
        <v>12.8</v>
      </c>
      <c r="C56" s="163">
        <f t="shared" si="23"/>
        <v>12.8</v>
      </c>
      <c r="D56" s="163">
        <f t="shared" si="23"/>
        <v>0</v>
      </c>
      <c r="E56" s="163">
        <f t="shared" si="23"/>
        <v>0</v>
      </c>
      <c r="F56" s="172">
        <v>0</v>
      </c>
      <c r="G56" s="172">
        <v>0</v>
      </c>
      <c r="H56" s="163">
        <f t="shared" si="23"/>
        <v>0</v>
      </c>
      <c r="I56" s="163">
        <f t="shared" si="23"/>
        <v>0</v>
      </c>
      <c r="J56" s="163">
        <f t="shared" si="23"/>
        <v>0</v>
      </c>
      <c r="K56" s="163">
        <f t="shared" si="23"/>
        <v>0</v>
      </c>
      <c r="L56" s="163">
        <f t="shared" si="23"/>
        <v>0</v>
      </c>
      <c r="M56" s="163">
        <f t="shared" si="23"/>
        <v>0</v>
      </c>
      <c r="N56" s="163">
        <f t="shared" si="23"/>
        <v>0</v>
      </c>
      <c r="O56" s="163">
        <f t="shared" si="23"/>
        <v>0</v>
      </c>
      <c r="P56" s="163">
        <f t="shared" si="23"/>
        <v>12.8</v>
      </c>
      <c r="Q56" s="163">
        <f t="shared" si="23"/>
        <v>0</v>
      </c>
      <c r="R56" s="163">
        <f t="shared" si="23"/>
        <v>0</v>
      </c>
      <c r="S56" s="163">
        <f t="shared" si="23"/>
        <v>0</v>
      </c>
      <c r="T56" s="163">
        <f t="shared" si="23"/>
        <v>0</v>
      </c>
      <c r="U56" s="163">
        <f t="shared" si="23"/>
        <v>0</v>
      </c>
      <c r="V56" s="163">
        <f t="shared" si="23"/>
        <v>0</v>
      </c>
      <c r="W56" s="163">
        <f t="shared" si="23"/>
        <v>0</v>
      </c>
      <c r="X56" s="163">
        <f t="shared" si="23"/>
        <v>0</v>
      </c>
      <c r="Y56" s="163">
        <f t="shared" si="23"/>
        <v>0</v>
      </c>
      <c r="Z56" s="163">
        <f t="shared" si="23"/>
        <v>0</v>
      </c>
      <c r="AA56" s="163">
        <f t="shared" si="23"/>
        <v>0</v>
      </c>
      <c r="AB56" s="163">
        <f t="shared" si="23"/>
        <v>0</v>
      </c>
      <c r="AC56" s="163">
        <f t="shared" si="23"/>
        <v>0</v>
      </c>
      <c r="AD56" s="163">
        <f t="shared" si="23"/>
        <v>0</v>
      </c>
      <c r="AE56" s="163">
        <f t="shared" si="23"/>
        <v>0</v>
      </c>
      <c r="AF56" s="164"/>
      <c r="AH56" s="97"/>
    </row>
    <row r="57" spans="1:34" s="18" customFormat="1" ht="18.75">
      <c r="A57" s="155" t="s">
        <v>25</v>
      </c>
      <c r="B57" s="163">
        <f>B60+B63+B66+B69+B72</f>
        <v>12.8</v>
      </c>
      <c r="C57" s="163">
        <f aca="true" t="shared" si="24" ref="C57:AE57">C60+C63+C66+C69+C72</f>
        <v>12.8</v>
      </c>
      <c r="D57" s="163">
        <f t="shared" si="24"/>
        <v>0</v>
      </c>
      <c r="E57" s="163">
        <f t="shared" si="24"/>
        <v>0</v>
      </c>
      <c r="F57" s="172">
        <v>0</v>
      </c>
      <c r="G57" s="172">
        <v>0</v>
      </c>
      <c r="H57" s="163">
        <f t="shared" si="24"/>
        <v>0</v>
      </c>
      <c r="I57" s="163">
        <f t="shared" si="24"/>
        <v>0</v>
      </c>
      <c r="J57" s="163">
        <f t="shared" si="24"/>
        <v>0</v>
      </c>
      <c r="K57" s="163">
        <f t="shared" si="24"/>
        <v>0</v>
      </c>
      <c r="L57" s="163">
        <f t="shared" si="24"/>
        <v>0</v>
      </c>
      <c r="M57" s="163">
        <f t="shared" si="24"/>
        <v>0</v>
      </c>
      <c r="N57" s="163">
        <f t="shared" si="24"/>
        <v>0</v>
      </c>
      <c r="O57" s="163">
        <f t="shared" si="24"/>
        <v>0</v>
      </c>
      <c r="P57" s="163">
        <f t="shared" si="24"/>
        <v>12.8</v>
      </c>
      <c r="Q57" s="163">
        <f t="shared" si="24"/>
        <v>0</v>
      </c>
      <c r="R57" s="163">
        <f t="shared" si="24"/>
        <v>0</v>
      </c>
      <c r="S57" s="163">
        <f t="shared" si="24"/>
        <v>0</v>
      </c>
      <c r="T57" s="163">
        <f t="shared" si="24"/>
        <v>0</v>
      </c>
      <c r="U57" s="163">
        <f t="shared" si="24"/>
        <v>0</v>
      </c>
      <c r="V57" s="163">
        <f t="shared" si="24"/>
        <v>0</v>
      </c>
      <c r="W57" s="163">
        <f t="shared" si="24"/>
        <v>0</v>
      </c>
      <c r="X57" s="163">
        <f t="shared" si="24"/>
        <v>0</v>
      </c>
      <c r="Y57" s="163">
        <f t="shared" si="24"/>
        <v>0</v>
      </c>
      <c r="Z57" s="163">
        <f t="shared" si="24"/>
        <v>0</v>
      </c>
      <c r="AA57" s="163">
        <f t="shared" si="24"/>
        <v>0</v>
      </c>
      <c r="AB57" s="163">
        <f t="shared" si="24"/>
        <v>0</v>
      </c>
      <c r="AC57" s="163">
        <f t="shared" si="24"/>
        <v>0</v>
      </c>
      <c r="AD57" s="163">
        <f t="shared" si="24"/>
        <v>0</v>
      </c>
      <c r="AE57" s="163">
        <f t="shared" si="24"/>
        <v>0</v>
      </c>
      <c r="AF57" s="164"/>
      <c r="AH57" s="97"/>
    </row>
    <row r="58" spans="1:34" s="18" customFormat="1" ht="48" customHeight="1">
      <c r="A58" s="45" t="s">
        <v>174</v>
      </c>
      <c r="B58" s="118"/>
      <c r="C58" s="120"/>
      <c r="D58" s="120"/>
      <c r="E58" s="120"/>
      <c r="F58" s="125"/>
      <c r="G58" s="125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12" t="s">
        <v>177</v>
      </c>
      <c r="AH58" s="97"/>
    </row>
    <row r="59" spans="1:34" s="18" customFormat="1" ht="18.75">
      <c r="A59" s="108" t="s">
        <v>32</v>
      </c>
      <c r="B59" s="116">
        <f>B60</f>
        <v>0</v>
      </c>
      <c r="C59" s="116">
        <f aca="true" t="shared" si="25" ref="C59:AE59">C60</f>
        <v>0</v>
      </c>
      <c r="D59" s="116">
        <f t="shared" si="25"/>
        <v>0</v>
      </c>
      <c r="E59" s="116">
        <f t="shared" si="25"/>
        <v>0</v>
      </c>
      <c r="F59" s="123">
        <f t="shared" si="25"/>
        <v>0</v>
      </c>
      <c r="G59" s="123">
        <v>0</v>
      </c>
      <c r="H59" s="116">
        <f t="shared" si="25"/>
        <v>0</v>
      </c>
      <c r="I59" s="116">
        <f t="shared" si="25"/>
        <v>0</v>
      </c>
      <c r="J59" s="116">
        <f t="shared" si="25"/>
        <v>0</v>
      </c>
      <c r="K59" s="116">
        <f t="shared" si="25"/>
        <v>0</v>
      </c>
      <c r="L59" s="116">
        <f t="shared" si="25"/>
        <v>0</v>
      </c>
      <c r="M59" s="116">
        <f t="shared" si="25"/>
        <v>0</v>
      </c>
      <c r="N59" s="116">
        <f t="shared" si="25"/>
        <v>0</v>
      </c>
      <c r="O59" s="116">
        <f t="shared" si="25"/>
        <v>0</v>
      </c>
      <c r="P59" s="116">
        <f t="shared" si="25"/>
        <v>0</v>
      </c>
      <c r="Q59" s="116">
        <f t="shared" si="25"/>
        <v>0</v>
      </c>
      <c r="R59" s="116">
        <f t="shared" si="25"/>
        <v>0</v>
      </c>
      <c r="S59" s="116">
        <f t="shared" si="25"/>
        <v>0</v>
      </c>
      <c r="T59" s="116">
        <f t="shared" si="25"/>
        <v>0</v>
      </c>
      <c r="U59" s="116">
        <f t="shared" si="25"/>
        <v>0</v>
      </c>
      <c r="V59" s="116">
        <f t="shared" si="25"/>
        <v>0</v>
      </c>
      <c r="W59" s="116">
        <f t="shared" si="25"/>
        <v>0</v>
      </c>
      <c r="X59" s="116">
        <f t="shared" si="25"/>
        <v>0</v>
      </c>
      <c r="Y59" s="116">
        <f t="shared" si="25"/>
        <v>0</v>
      </c>
      <c r="Z59" s="116">
        <f t="shared" si="25"/>
        <v>0</v>
      </c>
      <c r="AA59" s="116">
        <f t="shared" si="25"/>
        <v>0</v>
      </c>
      <c r="AB59" s="116">
        <f t="shared" si="25"/>
        <v>0</v>
      </c>
      <c r="AC59" s="116">
        <f t="shared" si="25"/>
        <v>0</v>
      </c>
      <c r="AD59" s="116">
        <f t="shared" si="25"/>
        <v>0</v>
      </c>
      <c r="AE59" s="116">
        <f t="shared" si="25"/>
        <v>0</v>
      </c>
      <c r="AF59" s="110"/>
      <c r="AH59" s="97"/>
    </row>
    <row r="60" spans="1:34" s="136" customFormat="1" ht="18.75" customHeight="1">
      <c r="A60" s="132" t="s">
        <v>25</v>
      </c>
      <c r="B60" s="133">
        <f>H60+J60+L60+N60+P60+R60+T60+V60+X60+Z60+AB60+AD60</f>
        <v>0</v>
      </c>
      <c r="C60" s="134">
        <f>H60</f>
        <v>0</v>
      </c>
      <c r="D60" s="134"/>
      <c r="E60" s="134">
        <f>I60+K60+M60+O60+Q60+S60+U60+W60+Y60+AA60+AC60+AE60</f>
        <v>0</v>
      </c>
      <c r="F60" s="135">
        <v>0</v>
      </c>
      <c r="G60" s="135">
        <v>0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45"/>
      <c r="AH60" s="137"/>
    </row>
    <row r="61" spans="1:34" s="18" customFormat="1" ht="60" customHeight="1">
      <c r="A61" s="45" t="s">
        <v>167</v>
      </c>
      <c r="B61" s="118"/>
      <c r="C61" s="120"/>
      <c r="D61" s="120"/>
      <c r="E61" s="120"/>
      <c r="F61" s="125"/>
      <c r="G61" s="125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11" t="s">
        <v>193</v>
      </c>
      <c r="AH61" s="97"/>
    </row>
    <row r="62" spans="1:34" s="18" customFormat="1" ht="18.75">
      <c r="A62" s="108" t="s">
        <v>32</v>
      </c>
      <c r="B62" s="116">
        <f>B63</f>
        <v>0</v>
      </c>
      <c r="C62" s="116">
        <f aca="true" t="shared" si="26" ref="C62:AE62">C63</f>
        <v>0</v>
      </c>
      <c r="D62" s="116">
        <f t="shared" si="26"/>
        <v>0</v>
      </c>
      <c r="E62" s="116">
        <f t="shared" si="26"/>
        <v>0</v>
      </c>
      <c r="F62" s="123">
        <f t="shared" si="26"/>
        <v>0</v>
      </c>
      <c r="G62" s="123">
        <v>0</v>
      </c>
      <c r="H62" s="116">
        <f t="shared" si="26"/>
        <v>0</v>
      </c>
      <c r="I62" s="116">
        <f t="shared" si="26"/>
        <v>0</v>
      </c>
      <c r="J62" s="116">
        <f t="shared" si="26"/>
        <v>0</v>
      </c>
      <c r="K62" s="116">
        <f t="shared" si="26"/>
        <v>0</v>
      </c>
      <c r="L62" s="116">
        <f t="shared" si="26"/>
        <v>0</v>
      </c>
      <c r="M62" s="116">
        <f t="shared" si="26"/>
        <v>0</v>
      </c>
      <c r="N62" s="116">
        <f t="shared" si="26"/>
        <v>0</v>
      </c>
      <c r="O62" s="116">
        <f t="shared" si="26"/>
        <v>0</v>
      </c>
      <c r="P62" s="116">
        <f t="shared" si="26"/>
        <v>0</v>
      </c>
      <c r="Q62" s="116">
        <f t="shared" si="26"/>
        <v>0</v>
      </c>
      <c r="R62" s="116">
        <f t="shared" si="26"/>
        <v>0</v>
      </c>
      <c r="S62" s="116">
        <f t="shared" si="26"/>
        <v>0</v>
      </c>
      <c r="T62" s="116">
        <f t="shared" si="26"/>
        <v>0</v>
      </c>
      <c r="U62" s="116">
        <f t="shared" si="26"/>
        <v>0</v>
      </c>
      <c r="V62" s="116">
        <f t="shared" si="26"/>
        <v>0</v>
      </c>
      <c r="W62" s="116">
        <f t="shared" si="26"/>
        <v>0</v>
      </c>
      <c r="X62" s="116">
        <f t="shared" si="26"/>
        <v>0</v>
      </c>
      <c r="Y62" s="116">
        <f t="shared" si="26"/>
        <v>0</v>
      </c>
      <c r="Z62" s="116">
        <f t="shared" si="26"/>
        <v>0</v>
      </c>
      <c r="AA62" s="116">
        <f t="shared" si="26"/>
        <v>0</v>
      </c>
      <c r="AB62" s="116">
        <f t="shared" si="26"/>
        <v>0</v>
      </c>
      <c r="AC62" s="116">
        <f t="shared" si="26"/>
        <v>0</v>
      </c>
      <c r="AD62" s="116">
        <f t="shared" si="26"/>
        <v>0</v>
      </c>
      <c r="AE62" s="116">
        <f t="shared" si="26"/>
        <v>0</v>
      </c>
      <c r="AF62" s="109"/>
      <c r="AH62" s="97"/>
    </row>
    <row r="63" spans="1:34" s="136" customFormat="1" ht="18.75">
      <c r="A63" s="132" t="s">
        <v>25</v>
      </c>
      <c r="B63" s="133">
        <f>H63+J63+L63+N63+P63+R63+T63+V63+X63+Z63+AB63+AD63</f>
        <v>0</v>
      </c>
      <c r="C63" s="134">
        <f>H63+J63+L63+N63+P63+R63+T63+V63+X63</f>
        <v>0</v>
      </c>
      <c r="D63" s="134">
        <f>H63+J63+L63+N63+P63+R63+T63+V63</f>
        <v>0</v>
      </c>
      <c r="E63" s="134">
        <f>I63+K63+M63+O63+Q63+S63+U63+W63+Y63+AA63+AC63+AE63</f>
        <v>0</v>
      </c>
      <c r="F63" s="135">
        <v>0</v>
      </c>
      <c r="G63" s="135">
        <v>0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45"/>
      <c r="AH63" s="137"/>
    </row>
    <row r="64" spans="1:34" s="18" customFormat="1" ht="186" customHeight="1">
      <c r="A64" s="46" t="s">
        <v>168</v>
      </c>
      <c r="B64" s="119"/>
      <c r="C64" s="120"/>
      <c r="D64" s="120"/>
      <c r="E64" s="120"/>
      <c r="F64" s="125"/>
      <c r="G64" s="125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12" t="s">
        <v>178</v>
      </c>
      <c r="AH64" s="97"/>
    </row>
    <row r="65" spans="1:34" s="18" customFormat="1" ht="18.75">
      <c r="A65" s="108" t="s">
        <v>32</v>
      </c>
      <c r="B65" s="116">
        <f>B66</f>
        <v>0</v>
      </c>
      <c r="C65" s="116">
        <f aca="true" t="shared" si="27" ref="C65:AE65">C66</f>
        <v>0</v>
      </c>
      <c r="D65" s="116">
        <f t="shared" si="27"/>
        <v>0</v>
      </c>
      <c r="E65" s="116">
        <f t="shared" si="27"/>
        <v>0</v>
      </c>
      <c r="F65" s="123">
        <f t="shared" si="27"/>
        <v>0</v>
      </c>
      <c r="G65" s="123">
        <v>0</v>
      </c>
      <c r="H65" s="116">
        <f t="shared" si="27"/>
        <v>0</v>
      </c>
      <c r="I65" s="116">
        <f t="shared" si="27"/>
        <v>0</v>
      </c>
      <c r="J65" s="116">
        <f t="shared" si="27"/>
        <v>0</v>
      </c>
      <c r="K65" s="116">
        <f t="shared" si="27"/>
        <v>0</v>
      </c>
      <c r="L65" s="116">
        <f t="shared" si="27"/>
        <v>0</v>
      </c>
      <c r="M65" s="116">
        <f t="shared" si="27"/>
        <v>0</v>
      </c>
      <c r="N65" s="116">
        <f t="shared" si="27"/>
        <v>0</v>
      </c>
      <c r="O65" s="116">
        <f t="shared" si="27"/>
        <v>0</v>
      </c>
      <c r="P65" s="116">
        <f t="shared" si="27"/>
        <v>0</v>
      </c>
      <c r="Q65" s="116">
        <f t="shared" si="27"/>
        <v>0</v>
      </c>
      <c r="R65" s="116">
        <f t="shared" si="27"/>
        <v>0</v>
      </c>
      <c r="S65" s="116">
        <f t="shared" si="27"/>
        <v>0</v>
      </c>
      <c r="T65" s="116">
        <f t="shared" si="27"/>
        <v>0</v>
      </c>
      <c r="U65" s="116">
        <f t="shared" si="27"/>
        <v>0</v>
      </c>
      <c r="V65" s="116">
        <f t="shared" si="27"/>
        <v>0</v>
      </c>
      <c r="W65" s="116">
        <f t="shared" si="27"/>
        <v>0</v>
      </c>
      <c r="X65" s="116">
        <f t="shared" si="27"/>
        <v>0</v>
      </c>
      <c r="Y65" s="116">
        <f t="shared" si="27"/>
        <v>0</v>
      </c>
      <c r="Z65" s="116">
        <f t="shared" si="27"/>
        <v>0</v>
      </c>
      <c r="AA65" s="116">
        <f t="shared" si="27"/>
        <v>0</v>
      </c>
      <c r="AB65" s="116">
        <f t="shared" si="27"/>
        <v>0</v>
      </c>
      <c r="AC65" s="116">
        <f t="shared" si="27"/>
        <v>0</v>
      </c>
      <c r="AD65" s="116">
        <f t="shared" si="27"/>
        <v>0</v>
      </c>
      <c r="AE65" s="116">
        <f t="shared" si="27"/>
        <v>0</v>
      </c>
      <c r="AF65" s="109"/>
      <c r="AH65" s="97"/>
    </row>
    <row r="66" spans="1:34" s="136" customFormat="1" ht="18.75">
      <c r="A66" s="132" t="s">
        <v>25</v>
      </c>
      <c r="B66" s="133">
        <f>H66+J66+L66+N66+P66+R66+T66+V66+X66+Z66+AB66+AD66</f>
        <v>0</v>
      </c>
      <c r="C66" s="134">
        <f>H66+J66+L66+N66+P66+R66+T66+V66+X66</f>
        <v>0</v>
      </c>
      <c r="D66" s="134">
        <f>H66+J66+L66+N66+P66+R66+T66+V66</f>
        <v>0</v>
      </c>
      <c r="E66" s="134">
        <f>I66+K66+M66+O66+Q66+S66+U66+W66+Y66+AA66+AC66+AE66</f>
        <v>0</v>
      </c>
      <c r="F66" s="135">
        <v>0</v>
      </c>
      <c r="G66" s="135">
        <v>0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45"/>
      <c r="AH66" s="137"/>
    </row>
    <row r="67" spans="1:34" s="18" customFormat="1" ht="134.25" customHeight="1">
      <c r="A67" s="104" t="s">
        <v>169</v>
      </c>
      <c r="B67" s="118"/>
      <c r="C67" s="120"/>
      <c r="D67" s="120"/>
      <c r="E67" s="120"/>
      <c r="F67" s="125"/>
      <c r="G67" s="125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11" t="s">
        <v>195</v>
      </c>
      <c r="AH67" s="97"/>
    </row>
    <row r="68" spans="1:34" s="18" customFormat="1" ht="18.75">
      <c r="A68" s="108" t="s">
        <v>32</v>
      </c>
      <c r="B68" s="116">
        <f>B69</f>
        <v>12.8</v>
      </c>
      <c r="C68" s="116">
        <f aca="true" t="shared" si="28" ref="C68:AE68">C69</f>
        <v>12.8</v>
      </c>
      <c r="D68" s="116">
        <f t="shared" si="28"/>
        <v>0</v>
      </c>
      <c r="E68" s="116">
        <f t="shared" si="28"/>
        <v>0</v>
      </c>
      <c r="F68" s="123">
        <v>0</v>
      </c>
      <c r="G68" s="123">
        <v>0</v>
      </c>
      <c r="H68" s="116">
        <f t="shared" si="28"/>
        <v>0</v>
      </c>
      <c r="I68" s="116">
        <f t="shared" si="28"/>
        <v>0</v>
      </c>
      <c r="J68" s="116">
        <f t="shared" si="28"/>
        <v>0</v>
      </c>
      <c r="K68" s="116">
        <f t="shared" si="28"/>
        <v>0</v>
      </c>
      <c r="L68" s="116">
        <f t="shared" si="28"/>
        <v>0</v>
      </c>
      <c r="M68" s="116">
        <f t="shared" si="28"/>
        <v>0</v>
      </c>
      <c r="N68" s="116">
        <f t="shared" si="28"/>
        <v>0</v>
      </c>
      <c r="O68" s="116">
        <f t="shared" si="28"/>
        <v>0</v>
      </c>
      <c r="P68" s="116">
        <f t="shared" si="28"/>
        <v>12.8</v>
      </c>
      <c r="Q68" s="116">
        <f t="shared" si="28"/>
        <v>0</v>
      </c>
      <c r="R68" s="116">
        <f t="shared" si="28"/>
        <v>0</v>
      </c>
      <c r="S68" s="116">
        <f t="shared" si="28"/>
        <v>0</v>
      </c>
      <c r="T68" s="116">
        <f t="shared" si="28"/>
        <v>0</v>
      </c>
      <c r="U68" s="116">
        <f t="shared" si="28"/>
        <v>0</v>
      </c>
      <c r="V68" s="116">
        <f t="shared" si="28"/>
        <v>0</v>
      </c>
      <c r="W68" s="116">
        <f t="shared" si="28"/>
        <v>0</v>
      </c>
      <c r="X68" s="116">
        <f t="shared" si="28"/>
        <v>0</v>
      </c>
      <c r="Y68" s="116">
        <f t="shared" si="28"/>
        <v>0</v>
      </c>
      <c r="Z68" s="116">
        <f t="shared" si="28"/>
        <v>0</v>
      </c>
      <c r="AA68" s="116">
        <f t="shared" si="28"/>
        <v>0</v>
      </c>
      <c r="AB68" s="116">
        <f t="shared" si="28"/>
        <v>0</v>
      </c>
      <c r="AC68" s="116">
        <f t="shared" si="28"/>
        <v>0</v>
      </c>
      <c r="AD68" s="116">
        <f t="shared" si="28"/>
        <v>0</v>
      </c>
      <c r="AE68" s="116">
        <f t="shared" si="28"/>
        <v>0</v>
      </c>
      <c r="AF68" s="110"/>
      <c r="AH68" s="97"/>
    </row>
    <row r="69" spans="1:34" s="136" customFormat="1" ht="18.75">
      <c r="A69" s="132" t="s">
        <v>25</v>
      </c>
      <c r="B69" s="133">
        <f>H69+J69+L69+N69+P69+R69+T69+V69+X69+Z69+AB69+AD69</f>
        <v>12.8</v>
      </c>
      <c r="C69" s="134">
        <f>H69+J69+L69+N69+P69</f>
        <v>12.8</v>
      </c>
      <c r="D69" s="134">
        <v>0</v>
      </c>
      <c r="E69" s="134">
        <f>I69+K69+M69+O69+Q69+S69+U69+W69+Y69+AA69+AC69+AE69</f>
        <v>0</v>
      </c>
      <c r="F69" s="135">
        <v>0</v>
      </c>
      <c r="G69" s="135">
        <v>0</v>
      </c>
      <c r="H69" s="134">
        <v>0</v>
      </c>
      <c r="I69" s="134"/>
      <c r="J69" s="134">
        <v>0</v>
      </c>
      <c r="K69" s="134"/>
      <c r="L69" s="134">
        <v>0</v>
      </c>
      <c r="M69" s="134"/>
      <c r="N69" s="134">
        <v>0</v>
      </c>
      <c r="O69" s="134">
        <v>0</v>
      </c>
      <c r="P69" s="134">
        <f>12800/1000</f>
        <v>12.8</v>
      </c>
      <c r="Q69" s="134"/>
      <c r="R69" s="134">
        <v>0</v>
      </c>
      <c r="S69" s="134"/>
      <c r="T69" s="134">
        <v>0</v>
      </c>
      <c r="U69" s="134"/>
      <c r="V69" s="134">
        <v>0</v>
      </c>
      <c r="W69" s="134"/>
      <c r="X69" s="134">
        <v>0</v>
      </c>
      <c r="Y69" s="134"/>
      <c r="Z69" s="134">
        <v>0</v>
      </c>
      <c r="AA69" s="134"/>
      <c r="AB69" s="134">
        <v>0</v>
      </c>
      <c r="AC69" s="134"/>
      <c r="AD69" s="134">
        <v>0</v>
      </c>
      <c r="AE69" s="134">
        <v>0</v>
      </c>
      <c r="AF69" s="145"/>
      <c r="AH69" s="137"/>
    </row>
    <row r="70" spans="1:34" s="18" customFormat="1" ht="97.5" customHeight="1">
      <c r="A70" s="45" t="s">
        <v>175</v>
      </c>
      <c r="B70" s="118"/>
      <c r="C70" s="120"/>
      <c r="D70" s="120"/>
      <c r="E70" s="120"/>
      <c r="F70" s="125"/>
      <c r="G70" s="125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11" t="s">
        <v>176</v>
      </c>
      <c r="AH70" s="97"/>
    </row>
    <row r="71" spans="1:34" s="18" customFormat="1" ht="18.75">
      <c r="A71" s="108" t="s">
        <v>32</v>
      </c>
      <c r="B71" s="116">
        <f>B72</f>
        <v>0</v>
      </c>
      <c r="C71" s="116">
        <f aca="true" t="shared" si="29" ref="C71:AE71">C72</f>
        <v>0</v>
      </c>
      <c r="D71" s="116">
        <f t="shared" si="29"/>
        <v>0</v>
      </c>
      <c r="E71" s="116">
        <f t="shared" si="29"/>
        <v>0</v>
      </c>
      <c r="F71" s="123">
        <v>0</v>
      </c>
      <c r="G71" s="123">
        <v>0</v>
      </c>
      <c r="H71" s="116">
        <f t="shared" si="29"/>
        <v>0</v>
      </c>
      <c r="I71" s="116">
        <f t="shared" si="29"/>
        <v>0</v>
      </c>
      <c r="J71" s="116">
        <f t="shared" si="29"/>
        <v>0</v>
      </c>
      <c r="K71" s="116">
        <f t="shared" si="29"/>
        <v>0</v>
      </c>
      <c r="L71" s="116">
        <f t="shared" si="29"/>
        <v>0</v>
      </c>
      <c r="M71" s="116">
        <f t="shared" si="29"/>
        <v>0</v>
      </c>
      <c r="N71" s="116">
        <f t="shared" si="29"/>
        <v>0</v>
      </c>
      <c r="O71" s="116">
        <f t="shared" si="29"/>
        <v>0</v>
      </c>
      <c r="P71" s="116">
        <f t="shared" si="29"/>
        <v>0</v>
      </c>
      <c r="Q71" s="116">
        <f t="shared" si="29"/>
        <v>0</v>
      </c>
      <c r="R71" s="116">
        <f t="shared" si="29"/>
        <v>0</v>
      </c>
      <c r="S71" s="116">
        <f t="shared" si="29"/>
        <v>0</v>
      </c>
      <c r="T71" s="116">
        <f t="shared" si="29"/>
        <v>0</v>
      </c>
      <c r="U71" s="116">
        <f t="shared" si="29"/>
        <v>0</v>
      </c>
      <c r="V71" s="116">
        <f t="shared" si="29"/>
        <v>0</v>
      </c>
      <c r="W71" s="116">
        <f t="shared" si="29"/>
        <v>0</v>
      </c>
      <c r="X71" s="116">
        <f t="shared" si="29"/>
        <v>0</v>
      </c>
      <c r="Y71" s="116">
        <f t="shared" si="29"/>
        <v>0</v>
      </c>
      <c r="Z71" s="116">
        <f t="shared" si="29"/>
        <v>0</v>
      </c>
      <c r="AA71" s="116">
        <f t="shared" si="29"/>
        <v>0</v>
      </c>
      <c r="AB71" s="116">
        <f t="shared" si="29"/>
        <v>0</v>
      </c>
      <c r="AC71" s="116">
        <f t="shared" si="29"/>
        <v>0</v>
      </c>
      <c r="AD71" s="116">
        <f t="shared" si="29"/>
        <v>0</v>
      </c>
      <c r="AE71" s="116">
        <f t="shared" si="29"/>
        <v>0</v>
      </c>
      <c r="AF71" s="110"/>
      <c r="AH71" s="97"/>
    </row>
    <row r="72" spans="1:34" s="136" customFormat="1" ht="18.75">
      <c r="A72" s="132" t="s">
        <v>25</v>
      </c>
      <c r="B72" s="133">
        <f>H72+J72+L72+N72+P72+R72+T72+V72+X72+Z72+AB72+AD72</f>
        <v>0</v>
      </c>
      <c r="C72" s="134"/>
      <c r="D72" s="134"/>
      <c r="E72" s="134">
        <f>I72+K72+M72+O72+Q72+S72+U72+W72+Y72+AA72+AC72+AE72</f>
        <v>0</v>
      </c>
      <c r="F72" s="135">
        <v>0</v>
      </c>
      <c r="G72" s="135">
        <v>0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45"/>
      <c r="AH72" s="137"/>
    </row>
    <row r="73" spans="1:34" s="49" customFormat="1" ht="37.5">
      <c r="A73" s="108" t="s">
        <v>33</v>
      </c>
      <c r="B73" s="116">
        <f>B75+B76+B74</f>
        <v>21740.400999999998</v>
      </c>
      <c r="C73" s="116">
        <f>C75+C76+C74</f>
        <v>5705.3958299999995</v>
      </c>
      <c r="D73" s="116">
        <f>D75+D76+D74</f>
        <v>11484.844</v>
      </c>
      <c r="E73" s="116">
        <f>E75+E76+E74</f>
        <v>4465.125</v>
      </c>
      <c r="F73" s="128">
        <f>E73/B73</f>
        <v>0.20538374614157304</v>
      </c>
      <c r="G73" s="128">
        <f>E73/C73</f>
        <v>0.7826144115227848</v>
      </c>
      <c r="H73" s="116">
        <f>H75+H76+H74</f>
        <v>562.959</v>
      </c>
      <c r="I73" s="116">
        <f aca="true" t="shared" si="30" ref="I73:AE73">I75+I76+I74</f>
        <v>425.15626000000003</v>
      </c>
      <c r="J73" s="116">
        <f t="shared" si="30"/>
        <v>760.9912</v>
      </c>
      <c r="K73" s="116">
        <f t="shared" si="30"/>
        <v>448.07892000000004</v>
      </c>
      <c r="L73" s="116">
        <f t="shared" si="30"/>
        <v>1153.12406</v>
      </c>
      <c r="M73" s="116">
        <f t="shared" si="30"/>
        <v>1026.41214</v>
      </c>
      <c r="N73" s="116">
        <f t="shared" si="30"/>
        <v>1585.88057</v>
      </c>
      <c r="O73" s="116">
        <f t="shared" si="30"/>
        <v>1337.55763</v>
      </c>
      <c r="P73" s="116">
        <f t="shared" si="30"/>
        <v>1642.441</v>
      </c>
      <c r="Q73" s="116">
        <f t="shared" si="30"/>
        <v>1227.9200500000002</v>
      </c>
      <c r="R73" s="116">
        <f t="shared" si="30"/>
        <v>4094.8959299999997</v>
      </c>
      <c r="S73" s="116">
        <f t="shared" si="30"/>
        <v>0</v>
      </c>
      <c r="T73" s="116">
        <f t="shared" si="30"/>
        <v>3667.87624</v>
      </c>
      <c r="U73" s="116">
        <f t="shared" si="30"/>
        <v>0</v>
      </c>
      <c r="V73" s="116">
        <f t="shared" si="30"/>
        <v>3696.5689999999995</v>
      </c>
      <c r="W73" s="116">
        <f t="shared" si="30"/>
        <v>0</v>
      </c>
      <c r="X73" s="116">
        <f t="shared" si="30"/>
        <v>1027.022</v>
      </c>
      <c r="Y73" s="116">
        <f t="shared" si="30"/>
        <v>0</v>
      </c>
      <c r="Z73" s="116">
        <f t="shared" si="30"/>
        <v>1240.23957</v>
      </c>
      <c r="AA73" s="116">
        <f t="shared" si="30"/>
        <v>0</v>
      </c>
      <c r="AB73" s="116">
        <f t="shared" si="30"/>
        <v>1211.76444</v>
      </c>
      <c r="AC73" s="116">
        <f t="shared" si="30"/>
        <v>0</v>
      </c>
      <c r="AD73" s="116">
        <f t="shared" si="30"/>
        <v>1096.63799</v>
      </c>
      <c r="AE73" s="116">
        <f t="shared" si="30"/>
        <v>0</v>
      </c>
      <c r="AF73" s="109"/>
      <c r="AH73" s="174"/>
    </row>
    <row r="74" spans="1:34" s="131" customFormat="1" ht="18.75">
      <c r="A74" s="129" t="s">
        <v>150</v>
      </c>
      <c r="B74" s="130">
        <f>B9</f>
        <v>0</v>
      </c>
      <c r="C74" s="130">
        <f>C9</f>
        <v>0</v>
      </c>
      <c r="D74" s="130">
        <f>D9</f>
        <v>0</v>
      </c>
      <c r="E74" s="130">
        <f>E9</f>
        <v>0</v>
      </c>
      <c r="F74" s="173">
        <v>0</v>
      </c>
      <c r="G74" s="173">
        <f>G9</f>
        <v>0</v>
      </c>
      <c r="H74" s="130">
        <f aca="true" t="shared" si="31" ref="H74:AE74">H9</f>
        <v>0</v>
      </c>
      <c r="I74" s="130">
        <f t="shared" si="31"/>
        <v>0</v>
      </c>
      <c r="J74" s="130">
        <f t="shared" si="31"/>
        <v>0</v>
      </c>
      <c r="K74" s="130">
        <f t="shared" si="31"/>
        <v>0</v>
      </c>
      <c r="L74" s="130">
        <f t="shared" si="31"/>
        <v>0</v>
      </c>
      <c r="M74" s="130">
        <f t="shared" si="31"/>
        <v>0</v>
      </c>
      <c r="N74" s="130">
        <f t="shared" si="31"/>
        <v>0</v>
      </c>
      <c r="O74" s="130">
        <f t="shared" si="31"/>
        <v>0</v>
      </c>
      <c r="P74" s="130">
        <f t="shared" si="31"/>
        <v>0</v>
      </c>
      <c r="Q74" s="130">
        <f t="shared" si="31"/>
        <v>0</v>
      </c>
      <c r="R74" s="130">
        <f t="shared" si="31"/>
        <v>0</v>
      </c>
      <c r="S74" s="130">
        <f t="shared" si="31"/>
        <v>0</v>
      </c>
      <c r="T74" s="130">
        <f t="shared" si="31"/>
        <v>0</v>
      </c>
      <c r="U74" s="130">
        <f t="shared" si="31"/>
        <v>0</v>
      </c>
      <c r="V74" s="130">
        <f t="shared" si="31"/>
        <v>0</v>
      </c>
      <c r="W74" s="130">
        <f t="shared" si="31"/>
        <v>0</v>
      </c>
      <c r="X74" s="130">
        <f t="shared" si="31"/>
        <v>0</v>
      </c>
      <c r="Y74" s="130">
        <f t="shared" si="31"/>
        <v>0</v>
      </c>
      <c r="Z74" s="130">
        <f t="shared" si="31"/>
        <v>0</v>
      </c>
      <c r="AA74" s="130">
        <f t="shared" si="31"/>
        <v>0</v>
      </c>
      <c r="AB74" s="130">
        <f t="shared" si="31"/>
        <v>0</v>
      </c>
      <c r="AC74" s="130">
        <f t="shared" si="31"/>
        <v>0</v>
      </c>
      <c r="AD74" s="130">
        <f t="shared" si="31"/>
        <v>0</v>
      </c>
      <c r="AE74" s="130">
        <f t="shared" si="31"/>
        <v>0</v>
      </c>
      <c r="AF74" s="147"/>
      <c r="AH74" s="174"/>
    </row>
    <row r="75" spans="1:34" s="131" customFormat="1" ht="18.75">
      <c r="A75" s="129" t="s">
        <v>24</v>
      </c>
      <c r="B75" s="130">
        <f aca="true" t="shared" si="32" ref="B75:AE75">B10+B51</f>
        <v>4559.001</v>
      </c>
      <c r="C75" s="130">
        <f t="shared" si="32"/>
        <v>1944.0976299999998</v>
      </c>
      <c r="D75" s="130">
        <f t="shared" si="32"/>
        <v>1815.292</v>
      </c>
      <c r="E75" s="130">
        <f t="shared" si="32"/>
        <v>1489.40045</v>
      </c>
      <c r="F75" s="173">
        <f>E75/B75</f>
        <v>0.3266944775840146</v>
      </c>
      <c r="G75" s="173">
        <f>E75/C75</f>
        <v>0.7661140196956057</v>
      </c>
      <c r="H75" s="130">
        <f>H10+H51</f>
        <v>562.959</v>
      </c>
      <c r="I75" s="130">
        <f t="shared" si="32"/>
        <v>425.15626000000003</v>
      </c>
      <c r="J75" s="130">
        <f t="shared" si="32"/>
        <v>343.16200000000003</v>
      </c>
      <c r="K75" s="130">
        <f t="shared" si="32"/>
        <v>234.18437</v>
      </c>
      <c r="L75" s="130">
        <f t="shared" si="32"/>
        <v>223.10106</v>
      </c>
      <c r="M75" s="130">
        <f t="shared" si="32"/>
        <v>242.98214000000002</v>
      </c>
      <c r="N75" s="130">
        <f t="shared" si="32"/>
        <v>328.57657</v>
      </c>
      <c r="O75" s="130">
        <f t="shared" si="32"/>
        <v>258.35763</v>
      </c>
      <c r="P75" s="130">
        <f t="shared" si="32"/>
        <v>486.299</v>
      </c>
      <c r="Q75" s="130">
        <f t="shared" si="32"/>
        <v>328.72005</v>
      </c>
      <c r="R75" s="130">
        <f t="shared" si="32"/>
        <v>724.25593</v>
      </c>
      <c r="S75" s="130">
        <f t="shared" si="32"/>
        <v>0</v>
      </c>
      <c r="T75" s="130">
        <f t="shared" si="32"/>
        <v>506.60623999999996</v>
      </c>
      <c r="U75" s="130">
        <f t="shared" si="32"/>
        <v>0</v>
      </c>
      <c r="V75" s="130">
        <f t="shared" si="32"/>
        <v>525.9590000000001</v>
      </c>
      <c r="W75" s="130">
        <f t="shared" si="32"/>
        <v>0</v>
      </c>
      <c r="X75" s="130">
        <f t="shared" si="32"/>
        <v>185.33999999999997</v>
      </c>
      <c r="Y75" s="130">
        <f t="shared" si="32"/>
        <v>0</v>
      </c>
      <c r="Z75" s="130">
        <f t="shared" si="32"/>
        <v>236.03757000000002</v>
      </c>
      <c r="AA75" s="130">
        <f t="shared" si="32"/>
        <v>0</v>
      </c>
      <c r="AB75" s="130">
        <f t="shared" si="32"/>
        <v>161.12044</v>
      </c>
      <c r="AC75" s="130">
        <f t="shared" si="32"/>
        <v>0</v>
      </c>
      <c r="AD75" s="130">
        <f t="shared" si="32"/>
        <v>275.58419</v>
      </c>
      <c r="AE75" s="130">
        <f t="shared" si="32"/>
        <v>0</v>
      </c>
      <c r="AF75" s="147"/>
      <c r="AH75" s="174"/>
    </row>
    <row r="76" spans="1:34" s="131" customFormat="1" ht="18.75">
      <c r="A76" s="129" t="s">
        <v>25</v>
      </c>
      <c r="B76" s="130">
        <f aca="true" t="shared" si="33" ref="B76:AE76">B11+B57</f>
        <v>17181.399999999998</v>
      </c>
      <c r="C76" s="130">
        <f t="shared" si="33"/>
        <v>3761.2982</v>
      </c>
      <c r="D76" s="130">
        <f t="shared" si="33"/>
        <v>9669.552</v>
      </c>
      <c r="E76" s="130">
        <f t="shared" si="33"/>
        <v>2975.72455</v>
      </c>
      <c r="F76" s="173">
        <f>E76/B76</f>
        <v>0.17319453304154495</v>
      </c>
      <c r="G76" s="173">
        <f>E76/C76</f>
        <v>0.791142948995642</v>
      </c>
      <c r="H76" s="130">
        <f t="shared" si="33"/>
        <v>0</v>
      </c>
      <c r="I76" s="130">
        <f t="shared" si="33"/>
        <v>0</v>
      </c>
      <c r="J76" s="130">
        <f t="shared" si="33"/>
        <v>417.8292</v>
      </c>
      <c r="K76" s="130">
        <f t="shared" si="33"/>
        <v>213.89455</v>
      </c>
      <c r="L76" s="130">
        <f t="shared" si="33"/>
        <v>930.023</v>
      </c>
      <c r="M76" s="130">
        <f t="shared" si="33"/>
        <v>783.43</v>
      </c>
      <c r="N76" s="130">
        <f t="shared" si="33"/>
        <v>1257.304</v>
      </c>
      <c r="O76" s="130">
        <f t="shared" si="33"/>
        <v>1079.2</v>
      </c>
      <c r="P76" s="130">
        <f t="shared" si="33"/>
        <v>1156.142</v>
      </c>
      <c r="Q76" s="130">
        <f t="shared" si="33"/>
        <v>899.2</v>
      </c>
      <c r="R76" s="130">
        <f t="shared" si="33"/>
        <v>3370.64</v>
      </c>
      <c r="S76" s="130">
        <f t="shared" si="33"/>
        <v>0</v>
      </c>
      <c r="T76" s="130">
        <f t="shared" si="33"/>
        <v>3161.27</v>
      </c>
      <c r="U76" s="130">
        <f t="shared" si="33"/>
        <v>0</v>
      </c>
      <c r="V76" s="130">
        <f t="shared" si="33"/>
        <v>3170.6099999999997</v>
      </c>
      <c r="W76" s="130">
        <f t="shared" si="33"/>
        <v>0</v>
      </c>
      <c r="X76" s="130">
        <f t="shared" si="33"/>
        <v>841.682</v>
      </c>
      <c r="Y76" s="130">
        <f t="shared" si="33"/>
        <v>0</v>
      </c>
      <c r="Z76" s="130">
        <f t="shared" si="33"/>
        <v>1004.202</v>
      </c>
      <c r="AA76" s="130">
        <f t="shared" si="33"/>
        <v>0</v>
      </c>
      <c r="AB76" s="130">
        <f t="shared" si="33"/>
        <v>1050.644</v>
      </c>
      <c r="AC76" s="130">
        <f t="shared" si="33"/>
        <v>0</v>
      </c>
      <c r="AD76" s="130">
        <f t="shared" si="33"/>
        <v>821.0538</v>
      </c>
      <c r="AE76" s="130">
        <f t="shared" si="33"/>
        <v>0</v>
      </c>
      <c r="AF76" s="147"/>
      <c r="AH76" s="174"/>
    </row>
    <row r="77" spans="1:34" s="18" customFormat="1" ht="18.75">
      <c r="A77" s="58"/>
      <c r="B77" s="58"/>
      <c r="C77" s="59"/>
      <c r="D77" s="59"/>
      <c r="E77" s="60"/>
      <c r="F77" s="60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2"/>
      <c r="AH77" s="97"/>
    </row>
    <row r="78" spans="1:34" s="18" customFormat="1" ht="18.75">
      <c r="A78" s="58"/>
      <c r="B78" s="58"/>
      <c r="E78" s="60"/>
      <c r="F78" s="60"/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59"/>
      <c r="U78" s="165"/>
      <c r="V78" s="165"/>
      <c r="W78" s="165"/>
      <c r="X78" s="165"/>
      <c r="Y78" s="165"/>
      <c r="Z78" s="165"/>
      <c r="AA78" s="165"/>
      <c r="AB78" s="165"/>
      <c r="AC78" s="165"/>
      <c r="AD78" s="61"/>
      <c r="AE78" s="61"/>
      <c r="AF78" s="62"/>
      <c r="AH78" s="97"/>
    </row>
    <row r="79" spans="2:32" ht="15.75" customHeight="1">
      <c r="B79" s="54"/>
      <c r="E79" s="53"/>
      <c r="F79" s="57"/>
      <c r="G79" s="57"/>
      <c r="H79" s="101"/>
      <c r="I79" s="102"/>
      <c r="M79" s="17"/>
      <c r="N79" s="17"/>
      <c r="U79" s="53" t="s">
        <v>138</v>
      </c>
      <c r="V79" s="100"/>
      <c r="W79" s="100"/>
      <c r="X79" s="100"/>
      <c r="Y79" s="100"/>
      <c r="Z79" s="100"/>
      <c r="AA79" s="166"/>
      <c r="AB79" s="166"/>
      <c r="AC79" s="191" t="s">
        <v>139</v>
      </c>
      <c r="AD79" s="191"/>
      <c r="AE79" s="191"/>
      <c r="AF79" s="191"/>
    </row>
    <row r="80" spans="1:43" ht="15.75" customHeight="1">
      <c r="A80" s="53"/>
      <c r="B80" s="54"/>
      <c r="E80" s="53"/>
      <c r="F80" s="57"/>
      <c r="G80" s="57"/>
      <c r="H80" s="101"/>
      <c r="I80" s="102"/>
      <c r="M80" s="17"/>
      <c r="N80" s="17"/>
      <c r="R80" s="52"/>
      <c r="S80" s="7"/>
      <c r="U80" s="53"/>
      <c r="V80" s="1"/>
      <c r="W80" s="1"/>
      <c r="X80" s="1"/>
      <c r="Y80" s="1"/>
      <c r="AA80" s="1"/>
      <c r="AB80" s="1"/>
      <c r="AD80" s="53"/>
      <c r="AE80" s="1"/>
      <c r="AF80" s="7"/>
      <c r="AG80" s="7"/>
      <c r="AH80" s="99"/>
      <c r="AI80" s="7"/>
      <c r="AJ80" s="7"/>
      <c r="AK80" s="7"/>
      <c r="AL80" s="7"/>
      <c r="AM80" s="7"/>
      <c r="AN80" s="7"/>
      <c r="AO80" s="7"/>
      <c r="AP80" s="7"/>
      <c r="AQ80" s="6"/>
    </row>
    <row r="81" spans="1:29" ht="15.75" customHeight="1">
      <c r="A81" s="24"/>
      <c r="B81" s="24"/>
      <c r="E81" s="24"/>
      <c r="F81" s="24"/>
      <c r="G81" s="24"/>
      <c r="H81" s="24"/>
      <c r="I81" s="24"/>
      <c r="J81" s="100"/>
      <c r="R81" s="52"/>
      <c r="U81" s="24"/>
      <c r="AC81" s="1"/>
    </row>
    <row r="82" ht="15.75" customHeight="1"/>
    <row r="83" spans="2:25" ht="15.75" customHeight="1">
      <c r="B83" s="63"/>
      <c r="E83" s="63"/>
      <c r="F83" s="1"/>
      <c r="G83" s="63"/>
      <c r="H83" s="63"/>
      <c r="U83" s="63" t="s">
        <v>184</v>
      </c>
      <c r="Y83" s="63"/>
    </row>
    <row r="84" ht="15.75" customHeight="1"/>
    <row r="85" ht="29.25" customHeight="1"/>
    <row r="86" ht="15.75" customHeight="1"/>
    <row r="87" ht="15.75" customHeight="1">
      <c r="H87" s="177"/>
    </row>
    <row r="88" ht="15.75" customHeight="1">
      <c r="H88" s="177"/>
    </row>
    <row r="89" spans="6:8" ht="15.75" customHeight="1">
      <c r="F89" s="1"/>
      <c r="G89" s="179"/>
      <c r="H89" s="180"/>
    </row>
    <row r="90" ht="15.75" customHeight="1">
      <c r="G90" s="178"/>
    </row>
  </sheetData>
  <sheetProtection/>
  <mergeCells count="27">
    <mergeCell ref="A3:A4"/>
    <mergeCell ref="B3:B4"/>
    <mergeCell ref="C3:C4"/>
    <mergeCell ref="D3:D4"/>
    <mergeCell ref="E3:E4"/>
    <mergeCell ref="F3:G3"/>
    <mergeCell ref="H3:I3"/>
    <mergeCell ref="J3:K3"/>
    <mergeCell ref="AF3:AF4"/>
    <mergeCell ref="AF12:AF15"/>
    <mergeCell ref="AF16:AF19"/>
    <mergeCell ref="L3:M3"/>
    <mergeCell ref="N3:O3"/>
    <mergeCell ref="P3:Q3"/>
    <mergeCell ref="R3:S3"/>
    <mergeCell ref="V3:W3"/>
    <mergeCell ref="X3:Y3"/>
    <mergeCell ref="A2:AF2"/>
    <mergeCell ref="AC79:AF79"/>
    <mergeCell ref="AF20:AF23"/>
    <mergeCell ref="AF24:AF26"/>
    <mergeCell ref="AF29:AF30"/>
    <mergeCell ref="AF32:AF33"/>
    <mergeCell ref="AF39:AF41"/>
    <mergeCell ref="Z3:AA3"/>
    <mergeCell ref="AB3:AC3"/>
    <mergeCell ref="AD3:AE3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5" r:id="rId3"/>
  <rowBreaks count="2" manualBreakCount="2">
    <brk id="38" max="31" man="1"/>
    <brk id="83" max="30" man="1"/>
  </rowBreaks>
  <colBreaks count="1" manualBreakCount="1">
    <brk id="19" max="8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86" t="s">
        <v>40</v>
      </c>
      <c r="C6" s="186"/>
      <c r="D6" s="186"/>
      <c r="E6" s="186"/>
      <c r="F6" s="186"/>
      <c r="G6" s="186"/>
      <c r="H6" s="186"/>
      <c r="I6" s="186"/>
      <c r="J6" s="186"/>
    </row>
    <row r="7" s="25" customFormat="1" ht="12.75"/>
    <row r="8" spans="2:10" s="25" customFormat="1" ht="12.75">
      <c r="B8" s="202" t="s">
        <v>41</v>
      </c>
      <c r="C8" s="202" t="s">
        <v>5</v>
      </c>
      <c r="D8" s="202" t="s">
        <v>42</v>
      </c>
      <c r="E8" s="202" t="s">
        <v>43</v>
      </c>
      <c r="F8" s="202" t="s">
        <v>44</v>
      </c>
      <c r="G8" s="202"/>
      <c r="H8" s="202"/>
      <c r="I8" s="202"/>
      <c r="J8" s="202" t="s">
        <v>45</v>
      </c>
    </row>
    <row r="9" spans="2:10" s="25" customFormat="1" ht="12.75">
      <c r="B9" s="202"/>
      <c r="C9" s="202"/>
      <c r="D9" s="202"/>
      <c r="E9" s="202"/>
      <c r="F9" s="202" t="s">
        <v>46</v>
      </c>
      <c r="G9" s="202" t="s">
        <v>47</v>
      </c>
      <c r="H9" s="202"/>
      <c r="I9" s="202"/>
      <c r="J9" s="202"/>
    </row>
    <row r="10" spans="2:10" s="25" customFormat="1" ht="15.75" customHeight="1">
      <c r="B10" s="202"/>
      <c r="C10" s="202"/>
      <c r="D10" s="202"/>
      <c r="E10" s="202"/>
      <c r="F10" s="202"/>
      <c r="G10" s="33" t="s">
        <v>48</v>
      </c>
      <c r="H10" s="33" t="s">
        <v>49</v>
      </c>
      <c r="I10" s="33" t="s">
        <v>50</v>
      </c>
      <c r="J10" s="202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203" t="s">
        <v>51</v>
      </c>
      <c r="C12" s="203"/>
      <c r="D12" s="203"/>
      <c r="E12" s="203"/>
      <c r="F12" s="203"/>
      <c r="G12" s="203"/>
      <c r="H12" s="203"/>
      <c r="I12" s="203"/>
      <c r="J12" s="203"/>
    </row>
    <row r="13" spans="2:10" s="25" customFormat="1" ht="24.75" customHeight="1">
      <c r="B13" s="203" t="s">
        <v>52</v>
      </c>
      <c r="C13" s="203"/>
      <c r="D13" s="203"/>
      <c r="E13" s="203"/>
      <c r="F13" s="203"/>
      <c r="G13" s="203"/>
      <c r="H13" s="203"/>
      <c r="I13" s="203"/>
      <c r="J13" s="203"/>
    </row>
    <row r="14" spans="2:10" s="25" customFormat="1" ht="25.5" customHeight="1">
      <c r="B14" s="204" t="s">
        <v>53</v>
      </c>
      <c r="C14" s="205"/>
      <c r="D14" s="205"/>
      <c r="E14" s="205"/>
      <c r="F14" s="205"/>
      <c r="G14" s="205"/>
      <c r="H14" s="205"/>
      <c r="I14" s="205"/>
      <c r="J14" s="206"/>
    </row>
    <row r="15" spans="2:13" s="25" customFormat="1" ht="12.75">
      <c r="B15" s="207" t="s">
        <v>54</v>
      </c>
      <c r="C15" s="210" t="s">
        <v>55</v>
      </c>
      <c r="D15" s="213" t="s">
        <v>56</v>
      </c>
      <c r="E15" s="213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08"/>
      <c r="C16" s="211"/>
      <c r="D16" s="214"/>
      <c r="E16" s="214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09"/>
      <c r="C17" s="212"/>
      <c r="D17" s="215"/>
      <c r="E17" s="215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07" t="s">
        <v>62</v>
      </c>
      <c r="C19" s="210" t="s">
        <v>63</v>
      </c>
      <c r="D19" s="213" t="s">
        <v>56</v>
      </c>
      <c r="E19" s="213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08"/>
      <c r="C20" s="211"/>
      <c r="D20" s="214"/>
      <c r="E20" s="214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09"/>
      <c r="C21" s="212"/>
      <c r="D21" s="215"/>
      <c r="E21" s="215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202" t="s">
        <v>73</v>
      </c>
      <c r="G25" s="202"/>
      <c r="H25" s="202"/>
      <c r="I25" s="202"/>
      <c r="J25" s="202"/>
      <c r="M25" s="36"/>
    </row>
    <row r="26" spans="2:13" s="25" customFormat="1" ht="18.75" customHeight="1">
      <c r="B26" s="213"/>
      <c r="C26" s="210" t="s">
        <v>74</v>
      </c>
      <c r="D26" s="213" t="s">
        <v>56</v>
      </c>
      <c r="E26" s="213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214"/>
      <c r="C27" s="211"/>
      <c r="D27" s="214"/>
      <c r="E27" s="214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215"/>
      <c r="C28" s="212"/>
      <c r="D28" s="215"/>
      <c r="E28" s="215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203" t="s">
        <v>75</v>
      </c>
      <c r="C29" s="203"/>
      <c r="D29" s="203"/>
      <c r="E29" s="203"/>
      <c r="F29" s="203"/>
      <c r="G29" s="203"/>
      <c r="H29" s="203"/>
      <c r="I29" s="203"/>
      <c r="J29" s="203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16"/>
      <c r="C32" s="210" t="s">
        <v>80</v>
      </c>
      <c r="D32" s="219"/>
      <c r="E32" s="213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17"/>
      <c r="C33" s="211"/>
      <c r="D33" s="220"/>
      <c r="E33" s="214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18"/>
      <c r="C34" s="212"/>
      <c r="D34" s="221"/>
      <c r="E34" s="215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204" t="s">
        <v>81</v>
      </c>
      <c r="C35" s="205"/>
      <c r="D35" s="205"/>
      <c r="E35" s="205"/>
      <c r="F35" s="205"/>
      <c r="G35" s="205"/>
      <c r="H35" s="205"/>
      <c r="I35" s="205"/>
      <c r="J35" s="206"/>
      <c r="M35" s="36"/>
    </row>
    <row r="36" spans="2:13" ht="27" customHeight="1">
      <c r="B36" s="204" t="s">
        <v>82</v>
      </c>
      <c r="C36" s="205"/>
      <c r="D36" s="205"/>
      <c r="E36" s="205"/>
      <c r="F36" s="205"/>
      <c r="G36" s="205"/>
      <c r="H36" s="205"/>
      <c r="I36" s="205"/>
      <c r="J36" s="206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204" t="s">
        <v>88</v>
      </c>
      <c r="C40" s="205"/>
      <c r="D40" s="205"/>
      <c r="E40" s="205"/>
      <c r="F40" s="205"/>
      <c r="G40" s="205"/>
      <c r="H40" s="205"/>
      <c r="I40" s="205"/>
      <c r="J40" s="206"/>
      <c r="M40" s="36"/>
    </row>
    <row r="41" spans="2:13" ht="26.25" customHeight="1">
      <c r="B41" s="204" t="s">
        <v>89</v>
      </c>
      <c r="C41" s="205"/>
      <c r="D41" s="205"/>
      <c r="E41" s="205"/>
      <c r="F41" s="205"/>
      <c r="G41" s="205"/>
      <c r="H41" s="205"/>
      <c r="I41" s="205"/>
      <c r="J41" s="206"/>
      <c r="M41" s="36"/>
    </row>
    <row r="42" spans="2:13" ht="27.75" customHeight="1">
      <c r="B42" s="203" t="s">
        <v>90</v>
      </c>
      <c r="C42" s="203"/>
      <c r="D42" s="203"/>
      <c r="E42" s="203"/>
      <c r="F42" s="203"/>
      <c r="G42" s="203"/>
      <c r="H42" s="203"/>
      <c r="I42" s="203"/>
      <c r="J42" s="203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202" t="s">
        <v>73</v>
      </c>
      <c r="G43" s="202"/>
      <c r="H43" s="202"/>
      <c r="I43" s="202"/>
      <c r="J43" s="202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202"/>
      <c r="C47" s="210" t="s">
        <v>102</v>
      </c>
      <c r="D47" s="202" t="s">
        <v>93</v>
      </c>
      <c r="E47" s="202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202"/>
      <c r="C48" s="211"/>
      <c r="D48" s="202"/>
      <c r="E48" s="202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202"/>
      <c r="C49" s="212"/>
      <c r="D49" s="202"/>
      <c r="E49" s="202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203" t="s">
        <v>103</v>
      </c>
      <c r="C50" s="203"/>
      <c r="D50" s="203"/>
      <c r="E50" s="203"/>
      <c r="F50" s="203"/>
      <c r="G50" s="203"/>
      <c r="H50" s="203"/>
      <c r="I50" s="203"/>
      <c r="J50" s="203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202" t="s">
        <v>73</v>
      </c>
      <c r="G51" s="202"/>
      <c r="H51" s="202"/>
      <c r="I51" s="202"/>
      <c r="J51" s="202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202" t="s">
        <v>73</v>
      </c>
      <c r="G52" s="202"/>
      <c r="H52" s="202"/>
      <c r="I52" s="202"/>
      <c r="J52" s="202"/>
      <c r="M52" s="36"/>
    </row>
    <row r="53" spans="2:13" ht="15.75" customHeight="1">
      <c r="B53" s="222"/>
      <c r="C53" s="203" t="s">
        <v>108</v>
      </c>
      <c r="D53" s="202" t="s">
        <v>93</v>
      </c>
      <c r="E53" s="202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22"/>
      <c r="C54" s="203"/>
      <c r="D54" s="202"/>
      <c r="E54" s="202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22"/>
      <c r="C55" s="203"/>
      <c r="D55" s="202"/>
      <c r="E55" s="202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23"/>
      <c r="C56" s="203" t="s">
        <v>109</v>
      </c>
      <c r="D56" s="222"/>
      <c r="E56" s="202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23"/>
      <c r="C57" s="203"/>
      <c r="D57" s="222"/>
      <c r="E57" s="202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23"/>
      <c r="C58" s="203"/>
      <c r="D58" s="222"/>
      <c r="E58" s="202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22"/>
      <c r="C60" s="203" t="s">
        <v>111</v>
      </c>
      <c r="D60" s="222"/>
      <c r="E60" s="202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22"/>
      <c r="C61" s="203"/>
      <c r="D61" s="222"/>
      <c r="E61" s="202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22"/>
      <c r="C62" s="203"/>
      <c r="D62" s="222"/>
      <c r="E62" s="202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19"/>
      <c r="C63" s="210" t="s">
        <v>112</v>
      </c>
      <c r="D63" s="219"/>
      <c r="E63" s="213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20"/>
      <c r="C64" s="211"/>
      <c r="D64" s="220"/>
      <c r="E64" s="214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21"/>
      <c r="C65" s="212"/>
      <c r="D65" s="221"/>
      <c r="E65" s="215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91"/>
      <c r="G1" s="191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91" t="s">
        <v>27</v>
      </c>
      <c r="O2" s="191"/>
      <c r="P2" s="191"/>
      <c r="Q2" s="191"/>
      <c r="R2" s="191"/>
    </row>
    <row r="3" spans="1:31" ht="26.25" customHeight="1">
      <c r="A3" s="23"/>
      <c r="N3" s="198" t="s">
        <v>35</v>
      </c>
      <c r="O3" s="198"/>
      <c r="P3" s="198"/>
      <c r="Q3" s="198"/>
      <c r="R3" s="198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97" t="s">
        <v>5</v>
      </c>
      <c r="B5" s="199" t="s">
        <v>23</v>
      </c>
      <c r="C5" s="199" t="s">
        <v>19</v>
      </c>
      <c r="D5" s="199" t="s">
        <v>20</v>
      </c>
      <c r="E5" s="196" t="s">
        <v>15</v>
      </c>
      <c r="F5" s="196"/>
      <c r="G5" s="196" t="s">
        <v>0</v>
      </c>
      <c r="H5" s="196"/>
      <c r="I5" s="196" t="s">
        <v>1</v>
      </c>
      <c r="J5" s="196"/>
      <c r="K5" s="196" t="s">
        <v>2</v>
      </c>
      <c r="L5" s="196"/>
      <c r="M5" s="196" t="s">
        <v>3</v>
      </c>
      <c r="N5" s="196"/>
      <c r="O5" s="196" t="s">
        <v>4</v>
      </c>
      <c r="P5" s="196"/>
      <c r="Q5" s="196" t="s">
        <v>6</v>
      </c>
      <c r="R5" s="196"/>
      <c r="S5" s="196" t="s">
        <v>7</v>
      </c>
      <c r="T5" s="196"/>
      <c r="U5" s="196" t="s">
        <v>8</v>
      </c>
      <c r="V5" s="196"/>
      <c r="W5" s="196" t="s">
        <v>9</v>
      </c>
      <c r="X5" s="196"/>
      <c r="Y5" s="196" t="s">
        <v>10</v>
      </c>
      <c r="Z5" s="196"/>
      <c r="AA5" s="196" t="s">
        <v>11</v>
      </c>
      <c r="AB5" s="196"/>
      <c r="AC5" s="196" t="s">
        <v>12</v>
      </c>
      <c r="AD5" s="196"/>
      <c r="AE5" s="197" t="s">
        <v>21</v>
      </c>
      <c r="AG5" s="76"/>
      <c r="AH5" s="76"/>
    </row>
    <row r="6" spans="1:34" s="13" customFormat="1" ht="84" customHeight="1">
      <c r="A6" s="197"/>
      <c r="B6" s="200"/>
      <c r="C6" s="200"/>
      <c r="D6" s="200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7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91"/>
      <c r="G1" s="191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91" t="s">
        <v>27</v>
      </c>
      <c r="O2" s="191"/>
      <c r="P2" s="191"/>
      <c r="Q2" s="191"/>
      <c r="R2" s="191"/>
    </row>
    <row r="3" spans="1:31" ht="26.25" customHeight="1">
      <c r="A3" s="23"/>
      <c r="N3" s="198" t="s">
        <v>35</v>
      </c>
      <c r="O3" s="198"/>
      <c r="P3" s="198"/>
      <c r="Q3" s="198"/>
      <c r="R3" s="198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97" t="s">
        <v>5</v>
      </c>
      <c r="B5" s="199" t="s">
        <v>23</v>
      </c>
      <c r="C5" s="199" t="s">
        <v>19</v>
      </c>
      <c r="D5" s="199" t="s">
        <v>20</v>
      </c>
      <c r="E5" s="196" t="s">
        <v>15</v>
      </c>
      <c r="F5" s="196"/>
      <c r="G5" s="196" t="s">
        <v>0</v>
      </c>
      <c r="H5" s="196"/>
      <c r="I5" s="196" t="s">
        <v>1</v>
      </c>
      <c r="J5" s="196"/>
      <c r="K5" s="196" t="s">
        <v>2</v>
      </c>
      <c r="L5" s="196"/>
      <c r="M5" s="196" t="s">
        <v>3</v>
      </c>
      <c r="N5" s="196"/>
      <c r="O5" s="196" t="s">
        <v>4</v>
      </c>
      <c r="P5" s="196"/>
      <c r="Q5" s="196" t="s">
        <v>6</v>
      </c>
      <c r="R5" s="196"/>
      <c r="S5" s="196" t="s">
        <v>7</v>
      </c>
      <c r="T5" s="196"/>
      <c r="U5" s="196" t="s">
        <v>8</v>
      </c>
      <c r="V5" s="196"/>
      <c r="W5" s="196" t="s">
        <v>9</v>
      </c>
      <c r="X5" s="196"/>
      <c r="Y5" s="196" t="s">
        <v>10</v>
      </c>
      <c r="Z5" s="196"/>
      <c r="AA5" s="196" t="s">
        <v>11</v>
      </c>
      <c r="AB5" s="196"/>
      <c r="AC5" s="196" t="s">
        <v>12</v>
      </c>
      <c r="AD5" s="196"/>
      <c r="AE5" s="197" t="s">
        <v>21</v>
      </c>
    </row>
    <row r="6" spans="1:31" s="13" customFormat="1" ht="84" customHeight="1">
      <c r="A6" s="197"/>
      <c r="B6" s="200"/>
      <c r="C6" s="200"/>
      <c r="D6" s="200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7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2016-06-15T11:40:35Z</cp:lastPrinted>
  <dcterms:created xsi:type="dcterms:W3CDTF">1996-10-08T23:32:33Z</dcterms:created>
  <dcterms:modified xsi:type="dcterms:W3CDTF">2016-06-16T07:12:28Z</dcterms:modified>
  <cp:category/>
  <cp:version/>
  <cp:contentType/>
  <cp:contentStatus/>
</cp:coreProperties>
</file>